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8_{98D202DA-8B1B-4CE8-A5EF-693D087CACF2}" xr6:coauthVersionLast="36" xr6:coauthVersionMax="36" xr10:uidLastSave="{00000000-0000-0000-0000-000000000000}"/>
  <bookViews>
    <workbookView xWindow="0" yWindow="0" windowWidth="8820" windowHeight="2220" xr2:uid="{00000000-000D-0000-FFFF-FFFF00000000}"/>
  </bookViews>
  <sheets>
    <sheet name="MOF 2020-21" sheetId="15" r:id="rId1"/>
    <sheet name="fondo MOF" sheetId="16" r:id="rId2"/>
    <sheet name="MOF 2019-20" sheetId="13" r:id="rId3"/>
  </sheets>
  <definedNames>
    <definedName name="_xlnm._FilterDatabase" localSheetId="2" hidden="1">'MOF 2019-20'!$A$2:$A$55</definedName>
    <definedName name="_xlnm._FilterDatabase" localSheetId="0" hidden="1">'MOF 2020-21'!$A$2:$A$60</definedName>
    <definedName name="_xlnm.Print_Area" localSheetId="2">'MOF 2019-20'!$A$1:$H$31</definedName>
    <definedName name="_xlnm.Print_Area" localSheetId="0">'MOF 2020-21'!$A$2:$K$53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5" l="1"/>
  <c r="K53" i="15" s="1"/>
  <c r="J53" i="15"/>
  <c r="C53" i="15"/>
  <c r="J14" i="15" l="1"/>
  <c r="C14" i="15"/>
  <c r="J19" i="15" l="1"/>
  <c r="J24" i="15"/>
  <c r="J23" i="15"/>
  <c r="J21" i="15"/>
  <c r="K21" i="15" s="1"/>
  <c r="H21" i="15"/>
  <c r="J10" i="15"/>
  <c r="K26" i="15" l="1"/>
  <c r="J20" i="15" l="1"/>
  <c r="J22" i="15" s="1"/>
  <c r="J17" i="15"/>
  <c r="K17" i="15" s="1"/>
  <c r="J16" i="15"/>
  <c r="J15" i="15"/>
  <c r="K10" i="15"/>
  <c r="J6" i="15"/>
  <c r="J5" i="15"/>
  <c r="J3" i="15"/>
  <c r="J25" i="15"/>
  <c r="K24" i="15"/>
  <c r="K23" i="15"/>
  <c r="H19" i="15"/>
  <c r="K19" i="15"/>
  <c r="J18" i="15"/>
  <c r="K20" i="15" l="1"/>
  <c r="K22" i="15" s="1"/>
  <c r="K16" i="15"/>
  <c r="K15" i="15" l="1"/>
  <c r="K18" i="15" s="1"/>
  <c r="K4" i="15"/>
  <c r="K5" i="15"/>
  <c r="K6" i="15"/>
  <c r="K3" i="15"/>
  <c r="C13" i="15" l="1"/>
  <c r="C25" i="15"/>
  <c r="K25" i="15" s="1"/>
  <c r="C22" i="15"/>
  <c r="C18" i="15"/>
  <c r="C9" i="16"/>
  <c r="C14" i="16" s="1"/>
  <c r="G4" i="15" l="1"/>
  <c r="G5" i="15"/>
  <c r="G6" i="15"/>
  <c r="G7" i="15"/>
  <c r="G8" i="15"/>
  <c r="G9" i="15"/>
  <c r="G10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11" i="15"/>
  <c r="G3" i="15"/>
  <c r="B13" i="15" l="1"/>
  <c r="B24" i="15"/>
  <c r="B25" i="15"/>
  <c r="H24" i="15"/>
  <c r="H23" i="15"/>
  <c r="B23" i="15"/>
  <c r="B22" i="15"/>
  <c r="B18" i="15"/>
  <c r="H17" i="15"/>
  <c r="H16" i="15"/>
  <c r="H10" i="15"/>
  <c r="L53" i="15" l="1"/>
  <c r="H15" i="15"/>
  <c r="H4" i="15"/>
  <c r="M53" i="15" l="1"/>
  <c r="J28" i="15"/>
  <c r="H20" i="15"/>
  <c r="N53" i="15" l="1"/>
  <c r="D53" i="15"/>
  <c r="J26" i="13" l="1"/>
  <c r="K8" i="13"/>
  <c r="D23" i="13"/>
  <c r="D21" i="13"/>
  <c r="K21" i="13" s="1"/>
  <c r="D20" i="13"/>
  <c r="D16" i="13"/>
  <c r="K16" i="13" s="1"/>
  <c r="D7" i="13"/>
  <c r="I24" i="13"/>
  <c r="I26" i="13" s="1"/>
  <c r="D22" i="13" l="1"/>
  <c r="K20" i="13"/>
  <c r="I23" i="13" l="1"/>
  <c r="K23" i="13" s="1"/>
  <c r="I22" i="13"/>
  <c r="K22" i="13" s="1"/>
  <c r="I15" i="13"/>
  <c r="I9" i="13"/>
  <c r="I7" i="13"/>
  <c r="K7" i="13" s="1"/>
  <c r="H5" i="13"/>
  <c r="B26" i="13"/>
  <c r="C25" i="13"/>
  <c r="D25" i="13" s="1"/>
  <c r="K25" i="13" s="1"/>
  <c r="C24" i="13"/>
  <c r="J23" i="13"/>
  <c r="C22" i="13"/>
  <c r="B21" i="13" s="1"/>
  <c r="H21" i="13"/>
  <c r="J21" i="13" s="1"/>
  <c r="F21" i="13"/>
  <c r="H20" i="13"/>
  <c r="F20" i="13"/>
  <c r="B19" i="13"/>
  <c r="H18" i="13"/>
  <c r="I18" i="13" s="1"/>
  <c r="I19" i="13" s="1"/>
  <c r="C18" i="13"/>
  <c r="H17" i="13"/>
  <c r="H16" i="13"/>
  <c r="J16" i="13" s="1"/>
  <c r="F16" i="13"/>
  <c r="B15" i="13"/>
  <c r="H14" i="13"/>
  <c r="C14" i="13"/>
  <c r="H13" i="13"/>
  <c r="C13" i="13"/>
  <c r="H12" i="13"/>
  <c r="C12" i="13"/>
  <c r="B11" i="13"/>
  <c r="H10" i="13"/>
  <c r="C10" i="13"/>
  <c r="C9" i="13"/>
  <c r="D9" i="13" s="1"/>
  <c r="H6" i="13"/>
  <c r="C6" i="13"/>
  <c r="C5" i="13"/>
  <c r="C4" i="13"/>
  <c r="D4" i="13" s="1"/>
  <c r="K4" i="13" s="1"/>
  <c r="H3" i="13"/>
  <c r="C3" i="13"/>
  <c r="I11" i="13" l="1"/>
  <c r="J3" i="13"/>
  <c r="K9" i="13"/>
  <c r="H19" i="13"/>
  <c r="J19" i="13" s="1"/>
  <c r="I53" i="13"/>
  <c r="F12" i="13"/>
  <c r="D12" i="13"/>
  <c r="F14" i="13"/>
  <c r="D14" i="13"/>
  <c r="K14" i="13" s="1"/>
  <c r="F5" i="13"/>
  <c r="D5" i="13"/>
  <c r="K5" i="13" s="1"/>
  <c r="F10" i="13"/>
  <c r="D10" i="13"/>
  <c r="K10" i="13" s="1"/>
  <c r="J14" i="13"/>
  <c r="F24" i="13"/>
  <c r="D24" i="13"/>
  <c r="F4" i="13"/>
  <c r="F3" i="13"/>
  <c r="D3" i="13"/>
  <c r="F6" i="13"/>
  <c r="D6" i="13"/>
  <c r="K6" i="13" s="1"/>
  <c r="F13" i="13"/>
  <c r="D13" i="13"/>
  <c r="K13" i="13" s="1"/>
  <c r="J18" i="13"/>
  <c r="D18" i="13"/>
  <c r="K18" i="13" s="1"/>
  <c r="J6" i="13"/>
  <c r="C28" i="13"/>
  <c r="C53" i="13"/>
  <c r="C55" i="13" s="1"/>
  <c r="J5" i="13"/>
  <c r="J4" i="13"/>
  <c r="C17" i="13"/>
  <c r="D17" i="13" s="1"/>
  <c r="F18" i="13"/>
  <c r="B20" i="13"/>
  <c r="H15" i="13"/>
  <c r="J15" i="13" s="1"/>
  <c r="J13" i="13"/>
  <c r="H11" i="13"/>
  <c r="J10" i="13"/>
  <c r="J12" i="13"/>
  <c r="H22" i="13"/>
  <c r="J22" i="13" s="1"/>
  <c r="B22" i="13"/>
  <c r="J20" i="13"/>
  <c r="H53" i="13" l="1"/>
  <c r="D26" i="13"/>
  <c r="K24" i="13"/>
  <c r="K26" i="13" s="1"/>
  <c r="K17" i="13"/>
  <c r="D19" i="13"/>
  <c r="K19" i="13" s="1"/>
  <c r="K3" i="13"/>
  <c r="K11" i="13" s="1"/>
  <c r="D11" i="13"/>
  <c r="K12" i="13"/>
  <c r="D15" i="13"/>
  <c r="K15" i="13" s="1"/>
  <c r="J11" i="13"/>
  <c r="J53" i="13" s="1"/>
  <c r="H28" i="13"/>
  <c r="J28" i="13" s="1"/>
  <c r="J17" i="13"/>
  <c r="F17" i="13"/>
  <c r="D53" i="13" l="1"/>
  <c r="K53" i="13"/>
  <c r="H5" i="15"/>
  <c r="H6" i="15"/>
  <c r="H3" i="15"/>
  <c r="C28" i="15"/>
  <c r="M28" i="15" s="1"/>
  <c r="H11" i="15"/>
</calcChain>
</file>

<file path=xl/sharedStrings.xml><?xml version="1.0" encoding="utf-8"?>
<sst xmlns="http://schemas.openxmlformats.org/spreadsheetml/2006/main" count="138" uniqueCount="96">
  <si>
    <t>PARAMETRO UNITARIO</t>
  </si>
  <si>
    <t>QUOTA POSTI PERSONALE EDUCATIVO</t>
  </si>
  <si>
    <t>TOTALE FIS</t>
  </si>
  <si>
    <t>TOTALE FUNZIONI  STRUMENTALI</t>
  </si>
  <si>
    <t>INCARICHI SPECIFICI PERSONALE ATA</t>
  </si>
  <si>
    <t>AVVIAMENTO PRATICA SPORTIVA</t>
  </si>
  <si>
    <t>COORDINATORI ATTIVITA' SPORTIVE</t>
  </si>
  <si>
    <t>TOTALE ATTIVITA' COMPLEMENTARI EDUCAZIONE FISICA</t>
  </si>
  <si>
    <t>ORE ECCEDENTI SOSTITUZIONE ASSENTI INFANZIA E PRIMARIA</t>
  </si>
  <si>
    <t>ORE ECCEDENTI SOSTITUZIONE ASSENTI SECONDARIA</t>
  </si>
  <si>
    <t>TOTALE ORE ECCEDENTI SOSTITUZIONE COLLEGHI ASSENTI</t>
  </si>
  <si>
    <t>COMANDATI</t>
  </si>
  <si>
    <t>TOTALE VOCI</t>
  </si>
  <si>
    <t>QUOTA PUNTI EROGAZIONE DEL SERVIZIO*</t>
  </si>
  <si>
    <t>QUOTA POSTI ORGANICO DI DIRITTO e POTENZIAMENTO</t>
  </si>
  <si>
    <t>QUOTA POSTI DOCENTI II GRADO</t>
  </si>
  <si>
    <t>QUOTA BASE</t>
  </si>
  <si>
    <t>QUOTA PER NUMERO DOCENTI OD</t>
  </si>
  <si>
    <t>totale VALORIZZAZIONE DOCENTE</t>
  </si>
  <si>
    <t>QUOTA 20% VALORIZZAZIONE DOCENTE (punteggi alunni come da criteri)</t>
  </si>
  <si>
    <t>Pesi delle voci</t>
  </si>
  <si>
    <t>QUOTA PER INDENNITA' PER BILINGUISMO E TRILINGUISMO</t>
  </si>
  <si>
    <t>QUOTA PER INDENNITA' SOSTITUTO DSGA</t>
  </si>
  <si>
    <t>QUOTA 80% VALORIZZAZIONE DOCENTE (organico autonomia)</t>
  </si>
  <si>
    <t>IMPORTO 2019
LORDO STATO</t>
  </si>
  <si>
    <t>** Sono considerati anche i posti per COCOCO (458,5)</t>
  </si>
  <si>
    <t>****Sono stati considerati, relativamente ai soli convitti ed educandati in cui sono presenti convittori, i Posti del Personale educativo e i Posti ATA. Per i convitti annessi, il numero dei posti ATA è stato stimato in quota parte considerando i posti ATA della relativa sede di dirigenza in funzione del numero di convitti annessi.</t>
  </si>
  <si>
    <t>*sono state considerate le scuole dove sono presenti alunni, classi o posti in organico di diritto 2019-20 (compresi i Centri territoriali permanenti ed esclusi i convitti ed educandati)</t>
  </si>
  <si>
    <t>QUOTA AGGIUNTIVA PER COMPLESSITA' ***</t>
  </si>
  <si>
    <t xml:space="preserve">***Sono state considerate sezioni carcerarie, sezioni ospedaliere, Centri Territoriali permanenti, corsi serali, Convitti, Educandati. Una complesisità è stata riconosciuta anche agli  istituti “verticalizzati” (Istituti comprensivi, Istituti di istruzione secondaria di II grado e Istituti omnicomprensivi). </t>
  </si>
  <si>
    <t>A.S. 2018-2019</t>
  </si>
  <si>
    <t>A.S. 2019-2020</t>
  </si>
  <si>
    <t xml:space="preserve">Fondo dell'istituzione scolastica - art. 40, c. 4, lett. a) </t>
  </si>
  <si>
    <t>Attività complementari di  educazione fisica - art. 40, c. 4, lett. b)</t>
  </si>
  <si>
    <t>Funzioni strumentali  - art. 40, c. 4, lett. c)</t>
  </si>
  <si>
    <t>Incarichi specifici - art. 40, c. 4, lett. d)</t>
  </si>
  <si>
    <t>Aree a rischio - art. 40, c. 4, lett. e)</t>
  </si>
  <si>
    <t>Ore eccedenti sostituzione - art. 40, c. 4, lett. f)</t>
  </si>
  <si>
    <t>Valorizzazione docente - BONUS - art. 40, c. 4, lett. g)</t>
  </si>
  <si>
    <t xml:space="preserve">         130.678.000,00 </t>
  </si>
  <si>
    <t>TOTALE Fondo MOF</t>
  </si>
  <si>
    <t>QUOTA PER TURNI FESTIVI E NOTTURNI ATA/EDUCATORI NEI CONVITTI****</t>
  </si>
  <si>
    <t>AREE A RISCHIO*****</t>
  </si>
  <si>
    <t>***** Di cui 390.000,00 per i CPIA</t>
  </si>
  <si>
    <t>CONSISTENZA DI RIFERIMENTO</t>
  </si>
  <si>
    <t>SVILUPPO CALCOLO</t>
  </si>
  <si>
    <t>SVILUPPO CALCOLO LD</t>
  </si>
  <si>
    <t>IMPORTO 2019
LORDO dipendente</t>
  </si>
  <si>
    <t>residuo LS</t>
  </si>
  <si>
    <t>residuo LD</t>
  </si>
  <si>
    <t>IMPORTO 2020
LORDO STATO</t>
  </si>
  <si>
    <t>IMPORTO 2020
LORDO dipendente</t>
  </si>
  <si>
    <t>CONSISTENZA DI RIFERIMENTO 2020-21</t>
  </si>
  <si>
    <t>CONSISTENZA DI RIFERIMENTO 2019-20</t>
  </si>
  <si>
    <t>diff</t>
  </si>
  <si>
    <t>*sono state considerate le scuole dove sono presenti alunni, classi o posti in organico di diritto 2020-21 (compresi i Centri territoriali permanenti)
sono esclusi convitti ed educandati
sono state incluse delle scuole ospedalierie che hanno in OD solo ore residue e non posti interi</t>
  </si>
  <si>
    <t>QUOTA POSTI ORGANICO DI DIRITTO e POTENZIAMENTO**</t>
  </si>
  <si>
    <t>Totale</t>
  </si>
  <si>
    <t>Totale MOF</t>
  </si>
  <si>
    <t>POSTI ACCANTONATI ex-LSU</t>
  </si>
  <si>
    <t>POSTI ACCANTONATI PER ASSISTENTE AMMINISTRATIVO (COCOCO)</t>
  </si>
  <si>
    <t>POSTI ACCANTONATI PER ASSISTENTE TECNICO (COCOCO)</t>
  </si>
  <si>
    <t>** per il personale ATA sono stati considerati i posti di organico per la mobilità e I posti accantonati</t>
  </si>
  <si>
    <t>INCARICHI SPECIFICI PERSONALE ATA**</t>
  </si>
  <si>
    <r>
      <t xml:space="preserve">COMMA 1 - ARTICOLO 40 </t>
    </r>
    <r>
      <rPr>
        <b/>
        <sz val="7"/>
        <color theme="1"/>
        <rFont val="Arial,Bold"/>
      </rPr>
      <t xml:space="preserve">– </t>
    </r>
    <r>
      <rPr>
        <b/>
        <sz val="7"/>
        <color theme="1"/>
        <rFont val="Arial"/>
        <family val="2"/>
      </rPr>
      <t>CCNL 2016/2018</t>
    </r>
  </si>
  <si>
    <r>
      <t xml:space="preserve">stanziamento di bilancio (al netto delle riduzioni) </t>
    </r>
    <r>
      <rPr>
        <sz val="10"/>
        <color theme="1"/>
        <rFont val="Times New Roman"/>
        <family val="1"/>
      </rPr>
      <t>as 2020-2021</t>
    </r>
  </si>
  <si>
    <r>
      <t xml:space="preserve">TOTALE FIS                                                                                      </t>
    </r>
    <r>
      <rPr>
        <sz val="10"/>
        <color theme="1"/>
        <rFont val="Times New Roman"/>
        <family val="1"/>
      </rPr>
      <t>519.180.000,00</t>
    </r>
  </si>
  <si>
    <r>
      <t>TOTALE FUNZIONI STRUMENTALI                                                  </t>
    </r>
    <r>
      <rPr>
        <sz val="10"/>
        <color theme="1"/>
        <rFont val="Times New Roman"/>
        <family val="1"/>
      </rPr>
      <t>45.240.000,00</t>
    </r>
  </si>
  <si>
    <r>
      <t>INCARICHI SPECIFICI PERSONALE ATA                                          </t>
    </r>
    <r>
      <rPr>
        <sz val="10"/>
        <color theme="1"/>
        <rFont val="Times New Roman"/>
        <family val="1"/>
      </rPr>
      <t>29.620.000,00</t>
    </r>
  </si>
  <si>
    <r>
      <t>TOTALE ATTIVITA' COMPLEMENTARI EDUCAZIONE FISICA         </t>
    </r>
    <r>
      <rPr>
        <sz val="10"/>
        <color theme="1"/>
        <rFont val="Times New Roman"/>
        <family val="1"/>
      </rPr>
      <t>17.150.000,00</t>
    </r>
  </si>
  <si>
    <r>
      <t xml:space="preserve">TOTALE ORE ECCEDENTI SOSTITUZIONE COLLEGHI ASSENTI </t>
    </r>
    <r>
      <rPr>
        <sz val="10"/>
        <color theme="1"/>
        <rFont val="Times New Roman"/>
        <family val="1"/>
      </rPr>
      <t>30.000.000,00</t>
    </r>
  </si>
  <si>
    <r>
      <t xml:space="preserve">AREE A RISCHIO                                                                               </t>
    </r>
    <r>
      <rPr>
        <sz val="10"/>
        <color theme="1"/>
        <rFont val="Times New Roman"/>
        <family val="1"/>
      </rPr>
      <t>16.870.000,00</t>
    </r>
  </si>
  <si>
    <r>
      <t xml:space="preserve">TOTALE VOCI                                                                                   </t>
    </r>
    <r>
      <rPr>
        <b/>
        <sz val="10"/>
        <color theme="1"/>
        <rFont val="Times New Roman"/>
        <family val="1"/>
      </rPr>
      <t>658.060.000,00</t>
    </r>
  </si>
  <si>
    <t>COMMA 2 - ARTICOLO 40 - CCNL 2016/2018</t>
  </si>
  <si>
    <r>
      <t xml:space="preserve">VALORIZZAZIONE DOCENTE - bonus                                             </t>
    </r>
    <r>
      <rPr>
        <sz val="10"/>
        <color theme="1"/>
        <rFont val="Times New Roman"/>
        <family val="1"/>
      </rPr>
      <t>142.800.000,00</t>
    </r>
  </si>
  <si>
    <t>VALORIZZAZIONE DELLA PROFESSIONALITA'</t>
  </si>
  <si>
    <r>
      <t xml:space="preserve">TOTALE FMOF 2019/2020                                                               </t>
    </r>
    <r>
      <rPr>
        <b/>
        <sz val="10"/>
        <color theme="1"/>
        <rFont val="Times New Roman"/>
        <family val="1"/>
      </rPr>
      <t>800.860.000,00</t>
    </r>
  </si>
  <si>
    <t>FIS</t>
  </si>
  <si>
    <t>FUNZIONI STRUMENTALI</t>
  </si>
  <si>
    <t>ATTIVITA' COMPLEMENTARI EDUCAZIONE FISICA</t>
  </si>
  <si>
    <t>ORE ECCEDENTI SOSTITUZIONE COLLEGHI ASSENTI</t>
  </si>
  <si>
    <t>AREE A RISCHIO</t>
  </si>
  <si>
    <t>SVILUPPO CALCOLO LS</t>
  </si>
  <si>
    <t>QUOTA PER INDENNITA' PER BILINGUISMO E TRILINGUISMO***</t>
  </si>
  <si>
    <t>QUOTA PER INDENNITA' SOSTITUTO DSGA***</t>
  </si>
  <si>
    <t>**** sono stati considerati i posti PED e i posti ATA solo nei convitti/educandati con convittori
Per I convitti annessi I posti ATA sono stati calcolati in proporzione ai punti di erogazione della sede di dirigenza (compresi gli stessi convitti).
Nel calcolo sono stati considerati anche i posti ATA accantonati</t>
  </si>
  <si>
    <t>*** Il calcolo sarà possibile dopo la rilevazione</t>
  </si>
  <si>
    <t>DSGA</t>
  </si>
  <si>
    <t>QUOTA 20% VALORIZZAZIONE PERSONALE SCOLASTICO (punteggi alunni come da criteri)</t>
  </si>
  <si>
    <t>***** sono considerate tutte le sedi oggetto dei finanziamenti ad eccezione dei convitti e degli educandati</t>
  </si>
  <si>
    <t>QUOTA BASE*****</t>
  </si>
  <si>
    <t>QUOTA AGGIUNTIVA PER COMPLESSITA' ******</t>
  </si>
  <si>
    <t>****** presenza di sezioni carcerarie, sezioni ospedaliere, Centri Territoriali permanenti, corsi serali, scuola annesa ad istituto d'arte, Convitti, Educandati e se si tratta di istituto “verticalizzato” (Istituti comprensivi, Istituti di istruzione secondaria di II grado e Istituti omnicomprensivi). 
sono state incluse delle scuole ospedalierie che hanno in OD solo ore residue e non posti interi</t>
  </si>
  <si>
    <t>*******sono stati considerati I posti del personale docente, compresi quelli di potenziamento e i posti del personale ATA, compresi quelli accantonati ed esclusi I DSGA e I posti del personale educativo</t>
  </si>
  <si>
    <t>TOTALE VALORIZZAZIONE PERSONALE SCOLASTICO</t>
  </si>
  <si>
    <t xml:space="preserve">QUOTA 80% VALORIZZAZIONE PERSONALE SCOLASTICO*******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</si>
</sst>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,Bold"/>
    </font>
    <font>
      <sz val="7"/>
      <color theme="1"/>
      <name val="Arial"/>
      <family val="2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1" applyFont="1" applyFill="1" applyBorder="1" applyAlignment="1">
      <alignment horizontal="left"/>
    </xf>
    <xf numFmtId="4" fontId="4" fillId="0" borderId="1" xfId="1" applyNumberFormat="1" applyFont="1" applyFill="1" applyBorder="1"/>
    <xf numFmtId="0" fontId="2" fillId="0" borderId="1" xfId="1" applyFont="1" applyFill="1" applyBorder="1" applyAlignment="1">
      <alignment horizontal="left"/>
    </xf>
    <xf numFmtId="4" fontId="2" fillId="0" borderId="1" xfId="1" applyNumberFormat="1" applyFont="1" applyFill="1" applyBorder="1"/>
    <xf numFmtId="165" fontId="2" fillId="0" borderId="1" xfId="1" applyNumberFormat="1" applyFont="1" applyFill="1" applyBorder="1"/>
    <xf numFmtId="4" fontId="4" fillId="0" borderId="1" xfId="1" applyNumberFormat="1" applyFont="1" applyBorder="1"/>
    <xf numFmtId="0" fontId="2" fillId="0" borderId="1" xfId="1" applyFont="1" applyBorder="1" applyAlignment="1">
      <alignment horizontal="left"/>
    </xf>
    <xf numFmtId="4" fontId="2" fillId="0" borderId="1" xfId="1" applyNumberFormat="1" applyFont="1" applyBorder="1"/>
    <xf numFmtId="4" fontId="3" fillId="0" borderId="1" xfId="1" applyNumberFormat="1" applyFont="1" applyFill="1" applyBorder="1" applyAlignment="1">
      <alignment horizontal="right"/>
    </xf>
    <xf numFmtId="0" fontId="4" fillId="0" borderId="0" xfId="1" applyFont="1" applyFill="1" applyBorder="1" applyAlignment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4" fontId="2" fillId="0" borderId="0" xfId="1" applyNumberFormat="1" applyFont="1" applyFill="1" applyBorder="1"/>
    <xf numFmtId="4" fontId="4" fillId="0" borderId="1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/>
    </xf>
    <xf numFmtId="4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166" fontId="2" fillId="0" borderId="1" xfId="2" applyNumberFormat="1" applyFont="1" applyFill="1" applyBorder="1"/>
    <xf numFmtId="3" fontId="4" fillId="0" borderId="0" xfId="0" applyNumberFormat="1" applyFont="1"/>
    <xf numFmtId="0" fontId="2" fillId="0" borderId="0" xfId="0" applyFont="1" applyFill="1"/>
    <xf numFmtId="4" fontId="4" fillId="0" borderId="0" xfId="0" applyNumberFormat="1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7" fillId="0" borderId="8" xfId="0" applyNumberFormat="1" applyFont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4" fontId="4" fillId="3" borderId="1" xfId="1" applyNumberFormat="1" applyFont="1" applyFill="1" applyBorder="1"/>
    <xf numFmtId="4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>
      <alignment horizontal="right"/>
    </xf>
    <xf numFmtId="0" fontId="4" fillId="3" borderId="0" xfId="0" applyFont="1" applyFill="1"/>
    <xf numFmtId="0" fontId="4" fillId="0" borderId="0" xfId="0" applyFont="1" applyAlignment="1">
      <alignment horizontal="left" wrapText="1"/>
    </xf>
    <xf numFmtId="4" fontId="4" fillId="0" borderId="0" xfId="1" applyNumberFormat="1" applyFont="1" applyBorder="1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2" fillId="0" borderId="0" xfId="1" applyNumberFormat="1" applyFont="1" applyBorder="1"/>
    <xf numFmtId="4" fontId="4" fillId="3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4" fontId="4" fillId="0" borderId="0" xfId="1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/>
    <xf numFmtId="4" fontId="8" fillId="0" borderId="1" xfId="1" applyNumberFormat="1" applyFont="1" applyBorder="1"/>
    <xf numFmtId="4" fontId="3" fillId="0" borderId="1" xfId="1" applyNumberFormat="1" applyFont="1" applyFill="1" applyBorder="1"/>
    <xf numFmtId="166" fontId="8" fillId="0" borderId="1" xfId="2" applyNumberFormat="1" applyFont="1" applyFill="1" applyBorder="1"/>
    <xf numFmtId="165" fontId="8" fillId="0" borderId="1" xfId="1" applyNumberFormat="1" applyFont="1" applyFill="1" applyBorder="1"/>
    <xf numFmtId="0" fontId="8" fillId="0" borderId="0" xfId="0" applyFont="1" applyFill="1"/>
    <xf numFmtId="4" fontId="8" fillId="2" borderId="1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/>
    <xf numFmtId="3" fontId="3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 wrapText="1"/>
    </xf>
    <xf numFmtId="0" fontId="4" fillId="3" borderId="0" xfId="0" applyFont="1" applyFill="1" applyAlignment="1">
      <alignment wrapText="1"/>
    </xf>
    <xf numFmtId="0" fontId="2" fillId="3" borderId="1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4" fontId="2" fillId="3" borderId="0" xfId="1" applyNumberFormat="1" applyFont="1" applyFill="1" applyBorder="1"/>
    <xf numFmtId="4" fontId="2" fillId="3" borderId="1" xfId="1" applyNumberFormat="1" applyFont="1" applyFill="1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0" fillId="0" borderId="0" xfId="0" applyNumberFormat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4" fontId="4" fillId="0" borderId="0" xfId="0" applyNumberFormat="1" applyFont="1"/>
    <xf numFmtId="4" fontId="4" fillId="4" borderId="1" xfId="1" applyNumberFormat="1" applyFont="1" applyFill="1" applyBorder="1"/>
    <xf numFmtId="0" fontId="4" fillId="4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2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 vertical="center"/>
    </xf>
  </cellXfs>
  <cellStyles count="3">
    <cellStyle name="Migliaia" xfId="2" builtinId="3"/>
    <cellStyle name="Normal 3" xfId="1" xr:uid="{00000000-0005-0000-0000-000002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EA35-32A2-426C-B0CC-DE5374EAFB11}">
  <dimension ref="A2:P66"/>
  <sheetViews>
    <sheetView tabSelected="1" zoomScaleNormal="100" workbookViewId="0">
      <selection activeCell="I14" sqref="I14"/>
    </sheetView>
  </sheetViews>
  <sheetFormatPr defaultColWidth="9.140625" defaultRowHeight="11.25" x14ac:dyDescent="0.2"/>
  <cols>
    <col min="1" max="1" width="67.140625" style="17" customWidth="1"/>
    <col min="2" max="2" width="14.5703125" style="17" hidden="1" customWidth="1"/>
    <col min="3" max="3" width="15" style="22" customWidth="1"/>
    <col min="4" max="4" width="15.28515625" style="22" hidden="1" customWidth="1"/>
    <col min="5" max="5" width="12" style="22" customWidth="1"/>
    <col min="6" max="6" width="12" style="65" hidden="1" customWidth="1"/>
    <col min="7" max="7" width="12" style="22" hidden="1" customWidth="1"/>
    <col min="8" max="8" width="12.5703125" style="18" hidden="1" customWidth="1"/>
    <col min="9" max="9" width="12.5703125" style="24" customWidth="1"/>
    <col min="10" max="11" width="18" style="18" customWidth="1"/>
    <col min="12" max="12" width="18" style="18" hidden="1" customWidth="1"/>
    <col min="13" max="14" width="12.5703125" style="18" hidden="1" customWidth="1"/>
    <col min="15" max="15" width="12.5703125" style="17" hidden="1" customWidth="1"/>
    <col min="16" max="16384" width="9.140625" style="17"/>
  </cols>
  <sheetData>
    <row r="2" spans="1:16" ht="45" x14ac:dyDescent="0.2">
      <c r="A2" s="15"/>
      <c r="B2" s="16" t="s">
        <v>20</v>
      </c>
      <c r="C2" s="16" t="s">
        <v>50</v>
      </c>
      <c r="D2" s="16" t="s">
        <v>51</v>
      </c>
      <c r="E2" s="16" t="s">
        <v>52</v>
      </c>
      <c r="F2" s="56" t="s">
        <v>53</v>
      </c>
      <c r="G2" s="16" t="s">
        <v>54</v>
      </c>
      <c r="H2" s="16" t="s">
        <v>0</v>
      </c>
      <c r="I2" s="16" t="s">
        <v>0</v>
      </c>
      <c r="J2" s="16" t="s">
        <v>82</v>
      </c>
      <c r="K2" s="16" t="s">
        <v>48</v>
      </c>
      <c r="L2" s="16" t="s">
        <v>46</v>
      </c>
      <c r="M2" s="16" t="s">
        <v>48</v>
      </c>
      <c r="N2" s="16" t="s">
        <v>49</v>
      </c>
    </row>
    <row r="3" spans="1:16" s="18" customFormat="1" x14ac:dyDescent="0.2">
      <c r="A3" s="1" t="s">
        <v>13</v>
      </c>
      <c r="B3" s="52">
        <v>0.20890004361986519</v>
      </c>
      <c r="C3" s="2">
        <v>108456725</v>
      </c>
      <c r="D3" s="53"/>
      <c r="E3" s="6">
        <v>42575</v>
      </c>
      <c r="F3" s="57">
        <v>42549</v>
      </c>
      <c r="G3" s="45">
        <f>E3-F3</f>
        <v>26</v>
      </c>
      <c r="H3" s="9">
        <f>ROUND(C3/E3,2)</f>
        <v>2547.4299999999998</v>
      </c>
      <c r="I3" s="14">
        <v>2547.42</v>
      </c>
      <c r="J3" s="2">
        <f>I3*E3</f>
        <v>108456406.5</v>
      </c>
      <c r="K3" s="2">
        <f>J3-C3</f>
        <v>-318.5</v>
      </c>
      <c r="L3" s="2"/>
      <c r="M3" s="2"/>
      <c r="N3" s="2"/>
    </row>
    <row r="4" spans="1:16" s="18" customFormat="1" x14ac:dyDescent="0.2">
      <c r="A4" s="40" t="s">
        <v>56</v>
      </c>
      <c r="B4" s="41">
        <v>0.60868048774426742</v>
      </c>
      <c r="C4" s="53">
        <v>316014736</v>
      </c>
      <c r="D4" s="51"/>
      <c r="E4" s="42">
        <v>976260.5</v>
      </c>
      <c r="F4" s="57">
        <v>962768.5</v>
      </c>
      <c r="G4" s="45">
        <f t="shared" ref="G4:G26" si="0">E4-F4</f>
        <v>13492</v>
      </c>
      <c r="H4" s="9">
        <f>ROUND(C4/E4,2)</f>
        <v>323.7</v>
      </c>
      <c r="I4" s="14">
        <v>323.69</v>
      </c>
      <c r="J4" s="2">
        <v>316005761.63999999</v>
      </c>
      <c r="K4" s="2">
        <f t="shared" ref="K4:K6" si="1">J4-C4</f>
        <v>-8974.3600000143051</v>
      </c>
      <c r="L4" s="2"/>
      <c r="M4" s="2"/>
      <c r="N4" s="2"/>
    </row>
    <row r="5" spans="1:16" s="18" customFormat="1" x14ac:dyDescent="0.2">
      <c r="A5" s="1" t="s">
        <v>1</v>
      </c>
      <c r="B5" s="52">
        <v>4.7226284122143143E-3</v>
      </c>
      <c r="C5" s="2">
        <v>2451894</v>
      </c>
      <c r="D5" s="53"/>
      <c r="E5" s="2">
        <v>2279</v>
      </c>
      <c r="F5" s="57">
        <v>2280</v>
      </c>
      <c r="G5" s="45">
        <f t="shared" si="0"/>
        <v>-1</v>
      </c>
      <c r="H5" s="9">
        <f>ROUND(C5/E5,2)</f>
        <v>1075.8599999999999</v>
      </c>
      <c r="I5" s="14">
        <v>1075.8599999999999</v>
      </c>
      <c r="J5" s="2">
        <f>I5*E5</f>
        <v>2451884.94</v>
      </c>
      <c r="K5" s="2">
        <f t="shared" si="1"/>
        <v>-9.0600000000558794</v>
      </c>
      <c r="L5" s="2"/>
      <c r="M5" s="2"/>
      <c r="N5" s="2"/>
    </row>
    <row r="6" spans="1:16" s="18" customFormat="1" x14ac:dyDescent="0.2">
      <c r="A6" s="1" t="s">
        <v>15</v>
      </c>
      <c r="B6" s="11">
        <v>0.17016643621747807</v>
      </c>
      <c r="C6" s="2">
        <v>88347010</v>
      </c>
      <c r="D6" s="47"/>
      <c r="E6" s="6">
        <v>262856</v>
      </c>
      <c r="F6" s="57">
        <v>260404</v>
      </c>
      <c r="G6" s="45">
        <f t="shared" si="0"/>
        <v>2452</v>
      </c>
      <c r="H6" s="9">
        <f>ROUND(C6/E6,2)</f>
        <v>336.1</v>
      </c>
      <c r="I6" s="14">
        <v>336.1</v>
      </c>
      <c r="J6" s="2">
        <f>I6*E6</f>
        <v>88345901.600000009</v>
      </c>
      <c r="K6" s="2">
        <f t="shared" si="1"/>
        <v>-1108.3999999910593</v>
      </c>
      <c r="L6" s="2"/>
      <c r="M6" s="2"/>
      <c r="N6" s="2"/>
    </row>
    <row r="7" spans="1:16" s="18" customFormat="1" x14ac:dyDescent="0.2">
      <c r="A7" s="89" t="s">
        <v>83</v>
      </c>
      <c r="B7" s="91">
        <v>2.29677322188335E-4</v>
      </c>
      <c r="C7" s="92">
        <v>120135</v>
      </c>
      <c r="D7" s="94"/>
      <c r="E7" s="6"/>
      <c r="F7" s="57"/>
      <c r="G7" s="45">
        <f t="shared" si="0"/>
        <v>0</v>
      </c>
      <c r="H7" s="9"/>
      <c r="I7" s="14"/>
      <c r="J7" s="96">
        <v>120135</v>
      </c>
      <c r="K7" s="96">
        <v>0</v>
      </c>
      <c r="L7" s="96"/>
      <c r="M7" s="86"/>
      <c r="N7" s="2"/>
    </row>
    <row r="8" spans="1:16" s="18" customFormat="1" x14ac:dyDescent="0.2">
      <c r="A8" s="90"/>
      <c r="B8" s="91"/>
      <c r="C8" s="93"/>
      <c r="D8" s="95"/>
      <c r="E8" s="6"/>
      <c r="F8" s="57"/>
      <c r="G8" s="45">
        <f t="shared" si="0"/>
        <v>0</v>
      </c>
      <c r="H8" s="9"/>
      <c r="I8" s="14"/>
      <c r="J8" s="93"/>
      <c r="K8" s="93"/>
      <c r="L8" s="93"/>
      <c r="M8" s="87"/>
      <c r="N8" s="2"/>
    </row>
    <row r="9" spans="1:16" s="18" customFormat="1" x14ac:dyDescent="0.2">
      <c r="A9" s="1" t="s">
        <v>84</v>
      </c>
      <c r="B9" s="11">
        <v>3.7652020030874657E-3</v>
      </c>
      <c r="C9" s="2">
        <v>1954358</v>
      </c>
      <c r="D9" s="47"/>
      <c r="E9" s="6"/>
      <c r="F9" s="57"/>
      <c r="G9" s="45">
        <f t="shared" si="0"/>
        <v>0</v>
      </c>
      <c r="H9" s="9"/>
      <c r="I9" s="14"/>
      <c r="J9" s="6">
        <v>1954358</v>
      </c>
      <c r="K9" s="6">
        <v>0</v>
      </c>
      <c r="L9" s="6"/>
      <c r="M9" s="2"/>
      <c r="N9" s="2"/>
    </row>
    <row r="10" spans="1:16" s="18" customFormat="1" x14ac:dyDescent="0.2">
      <c r="A10" s="40" t="s">
        <v>41</v>
      </c>
      <c r="B10" s="41">
        <v>3.5355246808991304E-3</v>
      </c>
      <c r="C10" s="53">
        <v>1835142</v>
      </c>
      <c r="D10" s="51"/>
      <c r="E10" s="42">
        <v>5732</v>
      </c>
      <c r="F10" s="57">
        <v>5749</v>
      </c>
      <c r="G10" s="45">
        <f t="shared" si="0"/>
        <v>-17</v>
      </c>
      <c r="H10" s="9">
        <f>ROUND(C10/E10,2)</f>
        <v>320.16000000000003</v>
      </c>
      <c r="I10" s="14">
        <v>320.14999999999998</v>
      </c>
      <c r="J10" s="2">
        <f>E10*I10</f>
        <v>1835099.7999999998</v>
      </c>
      <c r="K10" s="2">
        <f t="shared" ref="K10" si="2">J10-C10</f>
        <v>-42.200000000186265</v>
      </c>
      <c r="L10" s="2"/>
      <c r="M10" s="2"/>
      <c r="N10" s="2"/>
    </row>
    <row r="11" spans="1:16" x14ac:dyDescent="0.2">
      <c r="A11" s="84" t="s">
        <v>95</v>
      </c>
      <c r="B11" s="11">
        <v>0.8</v>
      </c>
      <c r="C11" s="59">
        <v>114240000</v>
      </c>
      <c r="D11" s="47"/>
      <c r="E11" s="82">
        <v>968475.5</v>
      </c>
      <c r="F11" s="57">
        <v>768888</v>
      </c>
      <c r="G11" s="45">
        <f>E11-F11</f>
        <v>199587.5</v>
      </c>
      <c r="H11" s="9">
        <f>ROUND(C11/E11,2)</f>
        <v>117.96</v>
      </c>
      <c r="I11" s="14"/>
      <c r="J11" s="2"/>
      <c r="K11" s="2"/>
      <c r="L11" s="6"/>
      <c r="M11" s="2"/>
      <c r="N11" s="2"/>
    </row>
    <row r="12" spans="1:16" x14ac:dyDescent="0.2">
      <c r="A12" s="85" t="s">
        <v>88</v>
      </c>
      <c r="B12" s="11">
        <v>0.2</v>
      </c>
      <c r="C12" s="59">
        <v>28560000</v>
      </c>
      <c r="D12" s="47"/>
      <c r="E12" s="21"/>
      <c r="F12" s="60"/>
      <c r="G12" s="21"/>
      <c r="H12" s="9"/>
      <c r="I12" s="14"/>
      <c r="J12" s="2"/>
      <c r="K12" s="2"/>
      <c r="L12" s="6"/>
      <c r="M12" s="2"/>
      <c r="N12" s="2"/>
    </row>
    <row r="13" spans="1:16" x14ac:dyDescent="0.2">
      <c r="A13" s="20" t="s">
        <v>94</v>
      </c>
      <c r="B13" s="12">
        <f>SUM(B11:B12)</f>
        <v>1</v>
      </c>
      <c r="C13" s="6">
        <f>SUM(C11:C12)</f>
        <v>142800000</v>
      </c>
      <c r="D13" s="8"/>
      <c r="E13" s="5"/>
      <c r="F13" s="61"/>
      <c r="G13" s="5"/>
      <c r="H13" s="9"/>
      <c r="I13" s="14"/>
      <c r="J13" s="6">
        <v>142800000</v>
      </c>
      <c r="K13" s="6">
        <v>0</v>
      </c>
      <c r="L13" s="8"/>
      <c r="M13" s="8"/>
      <c r="N13" s="8"/>
    </row>
    <row r="14" spans="1:16" s="18" customFormat="1" x14ac:dyDescent="0.2">
      <c r="A14" s="3" t="s">
        <v>2</v>
      </c>
      <c r="B14" s="11"/>
      <c r="C14" s="8">
        <f>SUM(C3:C12)</f>
        <v>661980000</v>
      </c>
      <c r="D14" s="4"/>
      <c r="E14" s="6"/>
      <c r="F14" s="57"/>
      <c r="G14" s="45">
        <f t="shared" si="0"/>
        <v>0</v>
      </c>
      <c r="H14" s="9"/>
      <c r="I14" s="14"/>
      <c r="J14" s="8">
        <f>SUM(J3:J13)</f>
        <v>661969547.48000002</v>
      </c>
      <c r="K14" s="8">
        <f>SUM(K3:K12)</f>
        <v>-10452.520000005607</v>
      </c>
      <c r="L14" s="4"/>
      <c r="M14" s="4"/>
      <c r="N14" s="4"/>
      <c r="P14" s="24"/>
    </row>
    <row r="15" spans="1:16" s="18" customFormat="1" x14ac:dyDescent="0.2">
      <c r="A15" s="1" t="s">
        <v>90</v>
      </c>
      <c r="B15" s="11">
        <v>0.25957239083997102</v>
      </c>
      <c r="C15" s="2">
        <v>11743055</v>
      </c>
      <c r="D15" s="47"/>
      <c r="E15" s="6">
        <v>8258</v>
      </c>
      <c r="F15" s="57">
        <v>8299</v>
      </c>
      <c r="G15" s="45">
        <f t="shared" si="0"/>
        <v>-41</v>
      </c>
      <c r="H15" s="9">
        <f>ROUND(C15/E15,2)</f>
        <v>1422.02</v>
      </c>
      <c r="I15" s="14">
        <v>1422.02</v>
      </c>
      <c r="J15" s="2">
        <f>I15*E15</f>
        <v>11743041.16</v>
      </c>
      <c r="K15" s="2">
        <f t="shared" ref="K15:K21" si="3">J15-C15</f>
        <v>-13.839999999850988</v>
      </c>
      <c r="L15" s="2"/>
      <c r="M15" s="2"/>
      <c r="N15" s="2"/>
    </row>
    <row r="16" spans="1:16" s="18" customFormat="1" x14ac:dyDescent="0.2">
      <c r="A16" s="1" t="s">
        <v>91</v>
      </c>
      <c r="B16" s="11">
        <v>0.11819728258508327</v>
      </c>
      <c r="C16" s="2">
        <v>5347245</v>
      </c>
      <c r="D16" s="47"/>
      <c r="E16" s="6">
        <v>8681</v>
      </c>
      <c r="F16" s="57">
        <v>8547</v>
      </c>
      <c r="G16" s="45">
        <f t="shared" si="0"/>
        <v>134</v>
      </c>
      <c r="H16" s="9">
        <f>ROUND(C16/E16,2)</f>
        <v>615.97</v>
      </c>
      <c r="I16" s="14">
        <v>615.97</v>
      </c>
      <c r="J16" s="2">
        <f>I16*E16</f>
        <v>5347235.57</v>
      </c>
      <c r="K16" s="2">
        <f t="shared" si="3"/>
        <v>-9.4299999997019768</v>
      </c>
      <c r="L16" s="2"/>
      <c r="M16" s="2"/>
      <c r="N16" s="2"/>
    </row>
    <row r="17" spans="1:14" s="18" customFormat="1" x14ac:dyDescent="0.2">
      <c r="A17" s="1" t="s">
        <v>17</v>
      </c>
      <c r="B17" s="11">
        <v>0.6222303265749457</v>
      </c>
      <c r="C17" s="2">
        <v>28149700</v>
      </c>
      <c r="D17" s="47"/>
      <c r="E17" s="6">
        <v>770673</v>
      </c>
      <c r="F17" s="57">
        <v>768888</v>
      </c>
      <c r="G17" s="45">
        <f t="shared" si="0"/>
        <v>1785</v>
      </c>
      <c r="H17" s="9">
        <f>ROUND(C17/E17,2)</f>
        <v>36.53</v>
      </c>
      <c r="I17" s="14">
        <v>36.520000000000003</v>
      </c>
      <c r="J17" s="2">
        <f>I17*E17</f>
        <v>28144977.960000001</v>
      </c>
      <c r="K17" s="2">
        <f t="shared" si="3"/>
        <v>-4722.0399999991059</v>
      </c>
      <c r="L17" s="2"/>
      <c r="M17" s="2"/>
      <c r="N17" s="2"/>
    </row>
    <row r="18" spans="1:14" s="18" customFormat="1" x14ac:dyDescent="0.2">
      <c r="A18" s="3" t="s">
        <v>3</v>
      </c>
      <c r="B18" s="11">
        <f t="shared" ref="B18" si="4">((C18*100)/C$18)/100</f>
        <v>1</v>
      </c>
      <c r="C18" s="8">
        <f>SUM(C15:C17)</f>
        <v>45240000</v>
      </c>
      <c r="D18" s="13"/>
      <c r="E18" s="6"/>
      <c r="F18" s="57"/>
      <c r="G18" s="45">
        <f t="shared" si="0"/>
        <v>0</v>
      </c>
      <c r="H18" s="9"/>
      <c r="I18" s="14"/>
      <c r="J18" s="13">
        <f>SUM(J15:J17)</f>
        <v>45235254.689999998</v>
      </c>
      <c r="K18" s="13">
        <f>SUM(K15:K17)</f>
        <v>-4745.3099999986589</v>
      </c>
      <c r="L18" s="13"/>
      <c r="M18" s="4"/>
      <c r="N18" s="4"/>
    </row>
    <row r="19" spans="1:14" s="23" customFormat="1" x14ac:dyDescent="0.2">
      <c r="A19" s="71" t="s">
        <v>63</v>
      </c>
      <c r="B19" s="72">
        <v>1</v>
      </c>
      <c r="C19" s="8">
        <v>29620000</v>
      </c>
      <c r="D19" s="73"/>
      <c r="E19" s="74">
        <v>195523.5</v>
      </c>
      <c r="F19" s="58">
        <v>183973.5</v>
      </c>
      <c r="G19" s="45">
        <f t="shared" si="0"/>
        <v>11550</v>
      </c>
      <c r="H19" s="38">
        <f>ROUND(C19/E19,2)</f>
        <v>151.49</v>
      </c>
      <c r="I19" s="39">
        <v>151.49</v>
      </c>
      <c r="J19" s="4">
        <f>I19*E19</f>
        <v>29619855.015000001</v>
      </c>
      <c r="K19" s="2">
        <f t="shared" si="3"/>
        <v>-144.98499999940395</v>
      </c>
      <c r="L19" s="4"/>
      <c r="M19" s="4"/>
      <c r="N19" s="2"/>
    </row>
    <row r="20" spans="1:14" s="18" customFormat="1" x14ac:dyDescent="0.2">
      <c r="A20" s="1" t="s">
        <v>5</v>
      </c>
      <c r="B20" s="52"/>
      <c r="C20" s="53">
        <v>17105000</v>
      </c>
      <c r="D20" s="53"/>
      <c r="E20" s="2">
        <v>199925</v>
      </c>
      <c r="F20" s="59">
        <v>198750</v>
      </c>
      <c r="G20" s="45">
        <f t="shared" si="0"/>
        <v>1175</v>
      </c>
      <c r="H20" s="9">
        <f>ROUND(C20/E20,2)</f>
        <v>85.56</v>
      </c>
      <c r="I20" s="14">
        <v>85.55</v>
      </c>
      <c r="J20" s="2">
        <f>I20*E20</f>
        <v>17103583.75</v>
      </c>
      <c r="K20" s="2">
        <f t="shared" si="3"/>
        <v>-1416.25</v>
      </c>
      <c r="L20" s="2"/>
      <c r="M20" s="2"/>
      <c r="N20" s="2"/>
    </row>
    <row r="21" spans="1:14" s="18" customFormat="1" x14ac:dyDescent="0.2">
      <c r="A21" s="1" t="s">
        <v>6</v>
      </c>
      <c r="B21" s="52"/>
      <c r="C21" s="53">
        <v>45000</v>
      </c>
      <c r="D21" s="53"/>
      <c r="E21" s="2">
        <v>18</v>
      </c>
      <c r="F21" s="59">
        <v>18</v>
      </c>
      <c r="G21" s="45">
        <f t="shared" si="0"/>
        <v>0</v>
      </c>
      <c r="H21" s="9">
        <f>ROUND(C21/18,2)</f>
        <v>2500</v>
      </c>
      <c r="I21" s="14">
        <v>2500</v>
      </c>
      <c r="J21" s="2">
        <f>I21*E21</f>
        <v>45000</v>
      </c>
      <c r="K21" s="2">
        <f t="shared" si="3"/>
        <v>0</v>
      </c>
      <c r="L21" s="2"/>
      <c r="M21" s="2"/>
      <c r="N21" s="2"/>
    </row>
    <row r="22" spans="1:14" s="18" customFormat="1" x14ac:dyDescent="0.2">
      <c r="A22" s="3" t="s">
        <v>7</v>
      </c>
      <c r="B22" s="11">
        <f t="shared" ref="B22" si="5">((C22*100)/C$22)/100</f>
        <v>1</v>
      </c>
      <c r="C22" s="4">
        <f>SUM(C20:C21)</f>
        <v>17150000</v>
      </c>
      <c r="D22" s="4"/>
      <c r="E22" s="6"/>
      <c r="F22" s="57"/>
      <c r="G22" s="45">
        <f t="shared" si="0"/>
        <v>0</v>
      </c>
      <c r="H22" s="9"/>
      <c r="I22" s="14"/>
      <c r="J22" s="4">
        <f>SUM(J20:J21)</f>
        <v>17148583.75</v>
      </c>
      <c r="K22" s="4">
        <f>SUM(K20:K21)</f>
        <v>-1416.25</v>
      </c>
      <c r="L22" s="4"/>
      <c r="M22" s="4"/>
      <c r="N22" s="4"/>
    </row>
    <row r="23" spans="1:14" s="18" customFormat="1" x14ac:dyDescent="0.2">
      <c r="A23" s="1" t="s">
        <v>8</v>
      </c>
      <c r="B23" s="11">
        <f>((C23*100)/C$25)/100</f>
        <v>0.30399999999999999</v>
      </c>
      <c r="C23" s="53">
        <v>9120000</v>
      </c>
      <c r="D23" s="47"/>
      <c r="E23" s="6">
        <v>336564</v>
      </c>
      <c r="F23" s="57">
        <v>337471</v>
      </c>
      <c r="G23" s="45">
        <f t="shared" si="0"/>
        <v>-907</v>
      </c>
      <c r="H23" s="9">
        <f>ROUND(C23/E23,2)</f>
        <v>27.1</v>
      </c>
      <c r="I23" s="14">
        <v>27.09</v>
      </c>
      <c r="J23" s="2">
        <f>I23*E23</f>
        <v>9117518.7599999998</v>
      </c>
      <c r="K23" s="2">
        <f t="shared" ref="K23:K26" si="6">J23-C23</f>
        <v>-2481.2400000002235</v>
      </c>
      <c r="L23" s="2"/>
      <c r="M23" s="2"/>
      <c r="N23" s="2"/>
    </row>
    <row r="24" spans="1:14" x14ac:dyDescent="0.2">
      <c r="A24" s="1" t="s">
        <v>9</v>
      </c>
      <c r="B24" s="11">
        <f t="shared" ref="B24:B25" si="7">((C24*100)/C$25)/100</f>
        <v>0.69599999999999995</v>
      </c>
      <c r="C24" s="47">
        <v>20880000</v>
      </c>
      <c r="D24" s="47"/>
      <c r="E24" s="6">
        <v>434109</v>
      </c>
      <c r="F24" s="57">
        <v>431417</v>
      </c>
      <c r="G24" s="45">
        <f t="shared" si="0"/>
        <v>2692</v>
      </c>
      <c r="H24" s="9">
        <f>ROUND(C24/E24,2)</f>
        <v>48.1</v>
      </c>
      <c r="I24" s="14">
        <v>48.09</v>
      </c>
      <c r="J24" s="2">
        <f>I24*E24</f>
        <v>20876301.810000002</v>
      </c>
      <c r="K24" s="2">
        <f t="shared" si="6"/>
        <v>-3698.1899999976158</v>
      </c>
      <c r="L24" s="2"/>
      <c r="M24" s="2"/>
      <c r="N24" s="2"/>
    </row>
    <row r="25" spans="1:14" x14ac:dyDescent="0.2">
      <c r="A25" s="3" t="s">
        <v>10</v>
      </c>
      <c r="B25" s="11">
        <f t="shared" si="7"/>
        <v>1</v>
      </c>
      <c r="C25" s="4">
        <f>SUM(C23:C24)</f>
        <v>30000000</v>
      </c>
      <c r="D25" s="4"/>
      <c r="E25" s="6"/>
      <c r="F25" s="57"/>
      <c r="G25" s="45">
        <f t="shared" si="0"/>
        <v>0</v>
      </c>
      <c r="H25" s="9"/>
      <c r="I25" s="14"/>
      <c r="J25" s="4">
        <f>SUM(J23:J24)</f>
        <v>29993820.57</v>
      </c>
      <c r="K25" s="2">
        <f t="shared" si="6"/>
        <v>-6179.429999999702</v>
      </c>
      <c r="L25" s="4"/>
      <c r="M25" s="4"/>
      <c r="N25" s="4"/>
    </row>
    <row r="26" spans="1:14" x14ac:dyDescent="0.2">
      <c r="A26" s="7" t="s">
        <v>42</v>
      </c>
      <c r="B26" s="12">
        <v>1</v>
      </c>
      <c r="C26" s="50">
        <v>16870000</v>
      </c>
      <c r="D26" s="50"/>
      <c r="E26" s="6"/>
      <c r="F26" s="57"/>
      <c r="G26" s="45">
        <f t="shared" si="0"/>
        <v>0</v>
      </c>
      <c r="H26" s="9"/>
      <c r="I26" s="14"/>
      <c r="J26" s="8">
        <v>16870000</v>
      </c>
      <c r="K26" s="2">
        <f t="shared" si="6"/>
        <v>0</v>
      </c>
      <c r="L26" s="8"/>
      <c r="M26" s="4"/>
      <c r="N26" s="2"/>
    </row>
    <row r="27" spans="1:14" hidden="1" x14ac:dyDescent="0.2">
      <c r="E27" s="23"/>
      <c r="F27" s="62"/>
      <c r="G27" s="23"/>
      <c r="H27" s="24"/>
      <c r="J27" s="23"/>
      <c r="K27" s="23"/>
      <c r="L27" s="23"/>
      <c r="M27" s="23"/>
      <c r="N27" s="23"/>
    </row>
    <row r="28" spans="1:14" hidden="1" x14ac:dyDescent="0.2">
      <c r="A28" s="25" t="s">
        <v>12</v>
      </c>
      <c r="B28" s="26"/>
      <c r="C28" s="27" t="e">
        <f>#REF!+C18+C14+C22+C25+C26+C13</f>
        <v>#REF!</v>
      </c>
      <c r="D28" s="27"/>
      <c r="E28" s="27"/>
      <c r="F28" s="63"/>
      <c r="G28" s="27"/>
      <c r="H28" s="27"/>
      <c r="I28" s="27"/>
      <c r="J28" s="27">
        <f>J14+J18+J19+J22+J25+J26+J13</f>
        <v>943637061.50500011</v>
      </c>
      <c r="K28" s="27"/>
      <c r="L28" s="27"/>
      <c r="M28" s="27" t="e">
        <f>C28-J28</f>
        <v>#REF!</v>
      </c>
      <c r="N28" s="27"/>
    </row>
    <row r="29" spans="1:14" hidden="1" x14ac:dyDescent="0.2">
      <c r="A29" s="7" t="s">
        <v>11</v>
      </c>
      <c r="B29" s="12"/>
      <c r="C29" s="8">
        <v>1150000</v>
      </c>
      <c r="D29" s="8"/>
      <c r="E29" s="5"/>
      <c r="F29" s="61"/>
      <c r="G29" s="5"/>
      <c r="H29" s="9"/>
      <c r="I29" s="14"/>
      <c r="J29" s="4"/>
      <c r="K29" s="4"/>
      <c r="L29" s="4"/>
      <c r="M29" s="5"/>
      <c r="N29" s="5"/>
    </row>
    <row r="30" spans="1:14" ht="16.5" hidden="1" customHeight="1" x14ac:dyDescent="0.2">
      <c r="A30" s="10" t="s">
        <v>27</v>
      </c>
      <c r="B30" s="10"/>
      <c r="C30" s="10"/>
      <c r="D30" s="10"/>
      <c r="E30" s="10"/>
      <c r="F30" s="64"/>
      <c r="G30" s="10"/>
      <c r="H30" s="10"/>
      <c r="I30" s="10"/>
      <c r="J30" s="10"/>
      <c r="K30" s="10"/>
      <c r="L30" s="10"/>
      <c r="M30" s="10"/>
      <c r="N30" s="10"/>
    </row>
    <row r="31" spans="1:14" ht="16.5" hidden="1" customHeight="1" x14ac:dyDescent="0.2">
      <c r="A31" s="10" t="s">
        <v>25</v>
      </c>
      <c r="B31" s="10"/>
      <c r="C31" s="10"/>
      <c r="D31" s="10"/>
      <c r="E31" s="10"/>
      <c r="F31" s="64"/>
      <c r="G31" s="10"/>
      <c r="H31" s="10"/>
      <c r="I31" s="10"/>
      <c r="J31" s="10"/>
      <c r="K31" s="10"/>
      <c r="L31" s="10"/>
      <c r="M31" s="10"/>
      <c r="N31" s="10"/>
    </row>
    <row r="32" spans="1:14" ht="16.5" hidden="1" customHeight="1" x14ac:dyDescent="0.2">
      <c r="A32" s="10" t="s">
        <v>29</v>
      </c>
      <c r="B32" s="10"/>
      <c r="C32" s="10"/>
      <c r="D32" s="10"/>
      <c r="E32" s="10"/>
      <c r="F32" s="64"/>
      <c r="G32" s="10"/>
      <c r="H32" s="10"/>
      <c r="I32" s="10"/>
      <c r="J32" s="10"/>
      <c r="K32" s="10"/>
      <c r="L32" s="10"/>
      <c r="M32" s="10"/>
      <c r="N32" s="10"/>
    </row>
    <row r="33" spans="1:14" ht="36.75" hidden="1" customHeight="1" x14ac:dyDescent="0.2">
      <c r="A33" s="88" t="s">
        <v>26</v>
      </c>
      <c r="B33" s="88"/>
      <c r="C33" s="88"/>
      <c r="D33" s="88"/>
      <c r="E33" s="88"/>
      <c r="F33" s="88"/>
      <c r="G33" s="88"/>
      <c r="H33" s="88"/>
      <c r="I33" s="88"/>
      <c r="J33" s="88"/>
      <c r="K33" s="69"/>
      <c r="L33" s="54"/>
      <c r="M33" s="17"/>
      <c r="N33" s="17"/>
    </row>
    <row r="34" spans="1:14" ht="18" hidden="1" customHeight="1" x14ac:dyDescent="0.2">
      <c r="A34" s="17" t="s">
        <v>43</v>
      </c>
    </row>
    <row r="35" spans="1:14" hidden="1" x14ac:dyDescent="0.2"/>
    <row r="36" spans="1:14" hidden="1" x14ac:dyDescent="0.2"/>
    <row r="37" spans="1:14" hidden="1" x14ac:dyDescent="0.2">
      <c r="A37" s="11"/>
      <c r="B37" s="11"/>
      <c r="C37" s="11"/>
      <c r="D37" s="11"/>
    </row>
    <row r="38" spans="1:14" hidden="1" x14ac:dyDescent="0.2"/>
    <row r="39" spans="1:14" ht="12.75" hidden="1" x14ac:dyDescent="0.2">
      <c r="A39" s="28"/>
      <c r="B39" s="29" t="s">
        <v>30</v>
      </c>
      <c r="C39" s="29" t="s">
        <v>31</v>
      </c>
      <c r="D39" s="29"/>
    </row>
    <row r="40" spans="1:14" ht="12.75" hidden="1" thickBot="1" x14ac:dyDescent="0.25">
      <c r="A40" s="30" t="s">
        <v>32</v>
      </c>
      <c r="B40" s="31">
        <v>531180000</v>
      </c>
      <c r="C40" s="31">
        <v>519180000</v>
      </c>
      <c r="D40" s="48"/>
    </row>
    <row r="41" spans="1:14" ht="12.75" hidden="1" thickBot="1" x14ac:dyDescent="0.25">
      <c r="A41" s="32" t="s">
        <v>33</v>
      </c>
      <c r="B41" s="33">
        <v>18150000</v>
      </c>
      <c r="C41" s="34">
        <v>17149999.93</v>
      </c>
      <c r="D41" s="48"/>
    </row>
    <row r="42" spans="1:14" ht="12.75" hidden="1" thickBot="1" x14ac:dyDescent="0.25">
      <c r="A42" s="32" t="s">
        <v>34</v>
      </c>
      <c r="B42" s="34">
        <v>55240000</v>
      </c>
      <c r="C42" s="34">
        <v>45240000</v>
      </c>
      <c r="D42" s="48"/>
    </row>
    <row r="43" spans="1:14" ht="12.75" hidden="1" thickBot="1" x14ac:dyDescent="0.25">
      <c r="A43" s="32" t="s">
        <v>35</v>
      </c>
      <c r="B43" s="34">
        <v>29620000</v>
      </c>
      <c r="C43" s="34">
        <v>29620000</v>
      </c>
      <c r="D43" s="48"/>
    </row>
    <row r="44" spans="1:14" ht="12.75" hidden="1" thickBot="1" x14ac:dyDescent="0.25">
      <c r="A44" s="32" t="s">
        <v>36</v>
      </c>
      <c r="B44" s="34">
        <v>23870000</v>
      </c>
      <c r="C44" s="34">
        <v>16870000</v>
      </c>
      <c r="D44" s="48"/>
    </row>
    <row r="45" spans="1:14" ht="12.75" hidden="1" thickBot="1" x14ac:dyDescent="0.25">
      <c r="A45" s="32" t="s">
        <v>37</v>
      </c>
      <c r="B45" s="34">
        <v>30000000</v>
      </c>
      <c r="C45" s="34">
        <v>30000000</v>
      </c>
      <c r="D45" s="48"/>
    </row>
    <row r="46" spans="1:14" s="22" customFormat="1" ht="12.75" hidden="1" thickBot="1" x14ac:dyDescent="0.25">
      <c r="A46" s="32" t="s">
        <v>38</v>
      </c>
      <c r="B46" s="35" t="s">
        <v>39</v>
      </c>
      <c r="C46" s="34">
        <v>142800000</v>
      </c>
      <c r="D46" s="48"/>
      <c r="F46" s="65"/>
      <c r="H46" s="18"/>
      <c r="I46" s="24"/>
      <c r="J46" s="18"/>
      <c r="K46" s="18"/>
      <c r="L46" s="18"/>
      <c r="M46" s="18"/>
      <c r="N46" s="18"/>
    </row>
    <row r="47" spans="1:14" s="22" customFormat="1" ht="12.75" hidden="1" thickBot="1" x14ac:dyDescent="0.25">
      <c r="A47" s="36" t="s">
        <v>40</v>
      </c>
      <c r="B47" s="37">
        <v>818738000</v>
      </c>
      <c r="C47" s="37">
        <v>800859999.92999995</v>
      </c>
      <c r="D47" s="49"/>
      <c r="F47" s="65"/>
      <c r="H47" s="18"/>
      <c r="I47" s="24"/>
      <c r="J47" s="18"/>
      <c r="K47" s="18"/>
      <c r="L47" s="18"/>
      <c r="M47" s="18"/>
      <c r="N47" s="18"/>
    </row>
    <row r="48" spans="1:14" hidden="1" x14ac:dyDescent="0.2"/>
    <row r="49" spans="1:16" hidden="1" x14ac:dyDescent="0.2"/>
    <row r="50" spans="1:16" hidden="1" x14ac:dyDescent="0.2"/>
    <row r="51" spans="1:16" hidden="1" x14ac:dyDescent="0.2"/>
    <row r="53" spans="1:16" x14ac:dyDescent="0.2">
      <c r="A53" s="7" t="s">
        <v>58</v>
      </c>
      <c r="B53" s="12"/>
      <c r="C53" s="8">
        <f>C14+C18+C19+C22+C25+C26</f>
        <v>800860000</v>
      </c>
      <c r="D53" s="8">
        <f>D14+D18+D19+D22+D25+D26+D13</f>
        <v>0</v>
      </c>
      <c r="E53" s="5"/>
      <c r="F53" s="61"/>
      <c r="G53" s="5"/>
      <c r="H53" s="9"/>
      <c r="I53" s="14"/>
      <c r="J53" s="8">
        <f>J14+J18+J19+J22+J25+J26</f>
        <v>800837061.50500011</v>
      </c>
      <c r="K53" s="8">
        <f>K14+K18+K19+K22+K25+K26</f>
        <v>-22938.495000003371</v>
      </c>
      <c r="L53" s="8">
        <f>L14+L18+L19+L22+L25+L26+L13</f>
        <v>0</v>
      </c>
      <c r="M53" s="8">
        <f>M14+M18+M19+M22+M25+M13+M26</f>
        <v>0</v>
      </c>
      <c r="N53" s="8">
        <f>N14+N18+N19+N22+N25+N13+N26</f>
        <v>0</v>
      </c>
      <c r="P53" s="81"/>
    </row>
    <row r="54" spans="1:16" x14ac:dyDescent="0.2">
      <c r="C54" s="17"/>
      <c r="D54" s="17"/>
      <c r="E54" s="17"/>
      <c r="F54" s="17"/>
      <c r="G54" s="47"/>
      <c r="J54" s="24"/>
      <c r="K54" s="24"/>
      <c r="L54" s="24"/>
      <c r="M54" s="8"/>
      <c r="N54" s="24"/>
    </row>
    <row r="55" spans="1:16" ht="56.25" x14ac:dyDescent="0.2">
      <c r="A55" s="55" t="s">
        <v>55</v>
      </c>
      <c r="C55" s="55"/>
      <c r="D55" s="55"/>
      <c r="E55" s="55"/>
      <c r="F55" s="55"/>
    </row>
    <row r="56" spans="1:16" ht="22.5" x14ac:dyDescent="0.2">
      <c r="A56" s="70" t="s">
        <v>62</v>
      </c>
      <c r="C56" s="55"/>
      <c r="D56" s="55"/>
      <c r="E56" s="55"/>
      <c r="F56" s="55"/>
    </row>
    <row r="57" spans="1:16" s="18" customFormat="1" x14ac:dyDescent="0.2">
      <c r="A57" s="79" t="s">
        <v>86</v>
      </c>
      <c r="C57" s="79"/>
      <c r="D57" s="79"/>
      <c r="E57" s="79"/>
      <c r="F57" s="79"/>
      <c r="G57" s="80"/>
      <c r="I57" s="24"/>
    </row>
    <row r="58" spans="1:16" ht="45" x14ac:dyDescent="0.2">
      <c r="A58" s="70" t="s">
        <v>85</v>
      </c>
      <c r="C58" s="55"/>
      <c r="D58" s="55"/>
      <c r="E58" s="55"/>
      <c r="F58" s="55"/>
    </row>
    <row r="59" spans="1:16" ht="22.5" x14ac:dyDescent="0.2">
      <c r="A59" s="55" t="s">
        <v>89</v>
      </c>
      <c r="C59" s="55"/>
      <c r="D59" s="55"/>
      <c r="E59" s="55"/>
      <c r="F59" s="55"/>
    </row>
    <row r="60" spans="1:16" ht="67.5" x14ac:dyDescent="0.2">
      <c r="A60" s="55" t="s">
        <v>92</v>
      </c>
      <c r="C60" s="55"/>
      <c r="D60" s="55"/>
      <c r="E60" s="55"/>
      <c r="F60" s="55"/>
    </row>
    <row r="61" spans="1:16" ht="33.75" x14ac:dyDescent="0.2">
      <c r="A61" s="83" t="s">
        <v>93</v>
      </c>
      <c r="C61" s="55"/>
      <c r="D61" s="55"/>
      <c r="E61" s="55"/>
      <c r="F61" s="55"/>
    </row>
    <row r="63" spans="1:16" x14ac:dyDescent="0.2">
      <c r="A63" s="66" t="s">
        <v>59</v>
      </c>
      <c r="B63" s="66"/>
      <c r="C63" s="67">
        <v>11332</v>
      </c>
      <c r="J63" s="24"/>
    </row>
    <row r="64" spans="1:16" x14ac:dyDescent="0.2">
      <c r="A64" s="66" t="s">
        <v>60</v>
      </c>
      <c r="B64" s="66"/>
      <c r="C64" s="68">
        <v>581.5</v>
      </c>
    </row>
    <row r="65" spans="1:14" x14ac:dyDescent="0.2">
      <c r="A65" s="66" t="s">
        <v>61</v>
      </c>
      <c r="B65" s="66"/>
      <c r="C65" s="67">
        <v>49</v>
      </c>
    </row>
    <row r="66" spans="1:14" x14ac:dyDescent="0.2">
      <c r="A66" s="66" t="s">
        <v>87</v>
      </c>
      <c r="B66" s="66"/>
      <c r="C66" s="67">
        <v>7785</v>
      </c>
      <c r="D66" s="17"/>
      <c r="E66" s="17"/>
      <c r="F66" s="17"/>
      <c r="G66" s="47"/>
      <c r="J66" s="24"/>
      <c r="K66" s="24"/>
      <c r="L66" s="24"/>
      <c r="M66" s="8"/>
      <c r="N66" s="24"/>
    </row>
  </sheetData>
  <autoFilter ref="A2:A60" xr:uid="{C1AB0376-E238-4AF3-AF0A-52750FF461FF}"/>
  <mergeCells count="9">
    <mergeCell ref="M7:M8"/>
    <mergeCell ref="A33:J33"/>
    <mergeCell ref="A7:A8"/>
    <mergeCell ref="B7:B8"/>
    <mergeCell ref="C7:C8"/>
    <mergeCell ref="D7:D8"/>
    <mergeCell ref="J7:J8"/>
    <mergeCell ref="L7:L8"/>
    <mergeCell ref="K7:K8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46A7-F6F1-4E33-BE49-F97A570A3D7F}">
  <dimension ref="A1:C14"/>
  <sheetViews>
    <sheetView workbookViewId="0">
      <selection activeCell="A20" sqref="A20"/>
    </sheetView>
  </sheetViews>
  <sheetFormatPr defaultRowHeight="15" x14ac:dyDescent="0.25"/>
  <cols>
    <col min="1" max="1" width="51.42578125" bestFit="1" customWidth="1"/>
    <col min="2" max="2" width="51.42578125" customWidth="1"/>
    <col min="3" max="3" width="13.42578125" bestFit="1" customWidth="1"/>
  </cols>
  <sheetData>
    <row r="1" spans="1:3" x14ac:dyDescent="0.25">
      <c r="A1" s="75" t="s">
        <v>64</v>
      </c>
      <c r="B1" s="75"/>
    </row>
    <row r="2" spans="1:3" x14ac:dyDescent="0.25">
      <c r="A2" s="75" t="s">
        <v>65</v>
      </c>
      <c r="B2" s="75"/>
    </row>
    <row r="3" spans="1:3" x14ac:dyDescent="0.25">
      <c r="A3" s="76" t="s">
        <v>66</v>
      </c>
      <c r="B3" s="76" t="s">
        <v>77</v>
      </c>
      <c r="C3" s="78">
        <v>519180000</v>
      </c>
    </row>
    <row r="4" spans="1:3" x14ac:dyDescent="0.25">
      <c r="A4" s="76" t="s">
        <v>67</v>
      </c>
      <c r="B4" s="76" t="s">
        <v>78</v>
      </c>
      <c r="C4" s="78">
        <v>45240000</v>
      </c>
    </row>
    <row r="5" spans="1:3" x14ac:dyDescent="0.25">
      <c r="A5" s="76" t="s">
        <v>68</v>
      </c>
      <c r="B5" s="76" t="s">
        <v>4</v>
      </c>
      <c r="C5" s="78">
        <v>29620000</v>
      </c>
    </row>
    <row r="6" spans="1:3" x14ac:dyDescent="0.25">
      <c r="A6" s="76" t="s">
        <v>69</v>
      </c>
      <c r="B6" s="76" t="s">
        <v>79</v>
      </c>
      <c r="C6" s="78">
        <v>17150000</v>
      </c>
    </row>
    <row r="7" spans="1:3" x14ac:dyDescent="0.25">
      <c r="A7" s="76" t="s">
        <v>70</v>
      </c>
      <c r="B7" s="76" t="s">
        <v>80</v>
      </c>
      <c r="C7" s="78">
        <v>30000000</v>
      </c>
    </row>
    <row r="8" spans="1:3" x14ac:dyDescent="0.25">
      <c r="A8" s="76" t="s">
        <v>71</v>
      </c>
      <c r="B8" s="76" t="s">
        <v>81</v>
      </c>
      <c r="C8" s="78">
        <v>16870000</v>
      </c>
    </row>
    <row r="9" spans="1:3" x14ac:dyDescent="0.25">
      <c r="A9" s="75" t="s">
        <v>72</v>
      </c>
      <c r="B9" s="75"/>
      <c r="C9" s="78">
        <f>SUM(C3:C8)</f>
        <v>658060000</v>
      </c>
    </row>
    <row r="10" spans="1:3" x14ac:dyDescent="0.25">
      <c r="A10" s="77"/>
      <c r="B10" s="77"/>
    </row>
    <row r="11" spans="1:3" x14ac:dyDescent="0.25">
      <c r="A11" s="75" t="s">
        <v>73</v>
      </c>
      <c r="B11" s="75"/>
    </row>
    <row r="12" spans="1:3" x14ac:dyDescent="0.25">
      <c r="A12" s="76" t="s">
        <v>74</v>
      </c>
      <c r="B12" s="76" t="s">
        <v>75</v>
      </c>
      <c r="C12" s="78">
        <v>142800000</v>
      </c>
    </row>
    <row r="13" spans="1:3" x14ac:dyDescent="0.25">
      <c r="A13" s="76" t="s">
        <v>75</v>
      </c>
      <c r="B13" s="76"/>
    </row>
    <row r="14" spans="1:3" x14ac:dyDescent="0.25">
      <c r="A14" s="75" t="s">
        <v>76</v>
      </c>
      <c r="B14" s="75"/>
      <c r="C14" s="78">
        <f>SUM(C9:C12)</f>
        <v>800860000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245B-8B5D-468B-B07D-CB507914E1D2}">
  <dimension ref="A2:K55"/>
  <sheetViews>
    <sheetView zoomScaleNormal="100" workbookViewId="0">
      <selection activeCell="A17" sqref="A17:XFD17"/>
    </sheetView>
  </sheetViews>
  <sheetFormatPr defaultColWidth="9.140625" defaultRowHeight="11.25" x14ac:dyDescent="0.2"/>
  <cols>
    <col min="1" max="1" width="57" style="17" customWidth="1"/>
    <col min="2" max="2" width="14.5703125" style="17" hidden="1" customWidth="1"/>
    <col min="3" max="3" width="12" style="22" bestFit="1" customWidth="1"/>
    <col min="4" max="4" width="15.28515625" style="22" bestFit="1" customWidth="1"/>
    <col min="5" max="5" width="12" style="22" customWidth="1"/>
    <col min="6" max="6" width="8.28515625" style="18" hidden="1" customWidth="1"/>
    <col min="7" max="7" width="12.5703125" style="24" customWidth="1"/>
    <col min="8" max="8" width="18" style="18" bestFit="1" customWidth="1"/>
    <col min="9" max="9" width="18" style="18" customWidth="1"/>
    <col min="10" max="11" width="12.5703125" style="18" customWidth="1"/>
    <col min="12" max="16384" width="9.140625" style="17"/>
  </cols>
  <sheetData>
    <row r="2" spans="1:11" ht="33.75" x14ac:dyDescent="0.2">
      <c r="A2" s="15"/>
      <c r="B2" s="16" t="s">
        <v>20</v>
      </c>
      <c r="C2" s="16" t="s">
        <v>24</v>
      </c>
      <c r="D2" s="16" t="s">
        <v>47</v>
      </c>
      <c r="E2" s="16" t="s">
        <v>44</v>
      </c>
      <c r="F2" s="16" t="s">
        <v>0</v>
      </c>
      <c r="G2" s="16" t="s">
        <v>0</v>
      </c>
      <c r="H2" s="16" t="s">
        <v>45</v>
      </c>
      <c r="I2" s="16" t="s">
        <v>46</v>
      </c>
      <c r="J2" s="16" t="s">
        <v>48</v>
      </c>
      <c r="K2" s="16" t="s">
        <v>49</v>
      </c>
    </row>
    <row r="3" spans="1:11" x14ac:dyDescent="0.2">
      <c r="A3" s="40" t="s">
        <v>13</v>
      </c>
      <c r="B3" s="41">
        <v>0.20890004361986519</v>
      </c>
      <c r="C3" s="42">
        <f>ROUND(B3*C$11,0)</f>
        <v>108456725</v>
      </c>
      <c r="D3" s="51">
        <f>ROUND(C3/1.327,2)</f>
        <v>81730764.879999995</v>
      </c>
      <c r="E3" s="45">
        <v>42549</v>
      </c>
      <c r="F3" s="43">
        <f>ROUND(C3/E3,2)</f>
        <v>2548.98</v>
      </c>
      <c r="G3" s="44">
        <v>2541.87</v>
      </c>
      <c r="H3" s="42">
        <f>G3*E3</f>
        <v>108154026.63</v>
      </c>
      <c r="I3" s="42">
        <v>81502653.870000005</v>
      </c>
      <c r="J3" s="42">
        <f>C3-H3</f>
        <v>302698.37000000477</v>
      </c>
      <c r="K3" s="42">
        <f>D3-I3</f>
        <v>228111.00999999046</v>
      </c>
    </row>
    <row r="4" spans="1:11" s="18" customFormat="1" x14ac:dyDescent="0.2">
      <c r="A4" s="1" t="s">
        <v>14</v>
      </c>
      <c r="B4" s="11">
        <v>0.60868048774426742</v>
      </c>
      <c r="C4" s="6">
        <f t="shared" ref="C4:C6" si="0">ROUND(B4*C$11,0)</f>
        <v>316014736</v>
      </c>
      <c r="D4" s="47">
        <f t="shared" ref="D4:D25" si="1">ROUND(C4/1.327,2)</f>
        <v>238142227.58000001</v>
      </c>
      <c r="E4" s="6">
        <v>962768.5</v>
      </c>
      <c r="F4" s="9">
        <f>ROUND(C4/E4,2)</f>
        <v>328.24</v>
      </c>
      <c r="G4" s="14">
        <v>328.23</v>
      </c>
      <c r="H4" s="2">
        <v>316009505.17000002</v>
      </c>
      <c r="I4" s="2">
        <v>238138286.09</v>
      </c>
      <c r="J4" s="2">
        <f>C4-H4</f>
        <v>5230.8299999833107</v>
      </c>
      <c r="K4" s="2">
        <f t="shared" ref="K4:K25" si="2">D4-I4</f>
        <v>3941.4900000095367</v>
      </c>
    </row>
    <row r="5" spans="1:11" s="18" customFormat="1" x14ac:dyDescent="0.2">
      <c r="A5" s="40" t="s">
        <v>1</v>
      </c>
      <c r="B5" s="41">
        <v>4.7226284122143143E-3</v>
      </c>
      <c r="C5" s="42">
        <f t="shared" si="0"/>
        <v>2451894</v>
      </c>
      <c r="D5" s="51">
        <f t="shared" si="1"/>
        <v>1847697.06</v>
      </c>
      <c r="E5" s="42">
        <v>2280</v>
      </c>
      <c r="F5" s="43">
        <f>ROUND(C5/E5,2)</f>
        <v>1075.3900000000001</v>
      </c>
      <c r="G5" s="44">
        <v>1194.8800000000001</v>
      </c>
      <c r="H5" s="42">
        <f t="shared" ref="H5" si="3">G5*E5</f>
        <v>2724326.4000000004</v>
      </c>
      <c r="I5" s="42">
        <v>2052996.540000001</v>
      </c>
      <c r="J5" s="42">
        <f>C5-H5</f>
        <v>-272432.40000000037</v>
      </c>
      <c r="K5" s="42">
        <f t="shared" si="2"/>
        <v>-205299.48000000091</v>
      </c>
    </row>
    <row r="6" spans="1:11" s="18" customFormat="1" x14ac:dyDescent="0.2">
      <c r="A6" s="1" t="s">
        <v>15</v>
      </c>
      <c r="B6" s="11">
        <v>0.17016643621747807</v>
      </c>
      <c r="C6" s="6">
        <f t="shared" si="0"/>
        <v>88347010</v>
      </c>
      <c r="D6" s="47">
        <f t="shared" si="1"/>
        <v>66576495.859999999</v>
      </c>
      <c r="E6" s="6">
        <v>260404</v>
      </c>
      <c r="F6" s="9">
        <f>ROUND(C6/E6,2)</f>
        <v>339.27</v>
      </c>
      <c r="G6" s="14">
        <v>339.26</v>
      </c>
      <c r="H6" s="2">
        <f>G6*E6</f>
        <v>88344661.039999992</v>
      </c>
      <c r="I6" s="2">
        <v>66574726.100000001</v>
      </c>
      <c r="J6" s="2">
        <f>C6-H6</f>
        <v>2348.9600000083447</v>
      </c>
      <c r="K6" s="2">
        <f t="shared" si="2"/>
        <v>1769.7599999979138</v>
      </c>
    </row>
    <row r="7" spans="1:11" s="18" customFormat="1" x14ac:dyDescent="0.2">
      <c r="A7" s="89" t="s">
        <v>21</v>
      </c>
      <c r="B7" s="91">
        <v>2.29677322188335E-4</v>
      </c>
      <c r="C7" s="96">
        <v>120135</v>
      </c>
      <c r="D7" s="94">
        <f t="shared" si="1"/>
        <v>90531.27</v>
      </c>
      <c r="E7" s="6"/>
      <c r="F7" s="9"/>
      <c r="G7" s="14"/>
      <c r="H7" s="96">
        <v>120135</v>
      </c>
      <c r="I7" s="96">
        <f>ROUND(H7/1.327,2)</f>
        <v>90531.27</v>
      </c>
      <c r="J7" s="86">
        <v>0</v>
      </c>
      <c r="K7" s="2">
        <f t="shared" si="2"/>
        <v>0</v>
      </c>
    </row>
    <row r="8" spans="1:11" s="18" customFormat="1" x14ac:dyDescent="0.2">
      <c r="A8" s="90"/>
      <c r="B8" s="91"/>
      <c r="C8" s="93"/>
      <c r="D8" s="95"/>
      <c r="E8" s="6"/>
      <c r="F8" s="9"/>
      <c r="G8" s="14"/>
      <c r="H8" s="93"/>
      <c r="I8" s="93"/>
      <c r="J8" s="87"/>
      <c r="K8" s="2">
        <f t="shared" si="2"/>
        <v>0</v>
      </c>
    </row>
    <row r="9" spans="1:11" s="18" customFormat="1" x14ac:dyDescent="0.2">
      <c r="A9" s="1" t="s">
        <v>22</v>
      </c>
      <c r="B9" s="11">
        <v>3.7652020030874657E-3</v>
      </c>
      <c r="C9" s="6">
        <f t="shared" ref="C9:C10" si="4">ROUND(B9*519058000,0)</f>
        <v>1954358</v>
      </c>
      <c r="D9" s="47">
        <f t="shared" si="1"/>
        <v>1472764.13</v>
      </c>
      <c r="E9" s="6"/>
      <c r="F9" s="9"/>
      <c r="G9" s="14"/>
      <c r="H9" s="6">
        <v>1954358</v>
      </c>
      <c r="I9" s="6">
        <f>ROUND(H9/1.327,2)</f>
        <v>1472764.13</v>
      </c>
      <c r="J9" s="2">
        <v>0</v>
      </c>
      <c r="K9" s="2">
        <f t="shared" si="2"/>
        <v>0</v>
      </c>
    </row>
    <row r="10" spans="1:11" s="18" customFormat="1" x14ac:dyDescent="0.2">
      <c r="A10" s="1" t="s">
        <v>41</v>
      </c>
      <c r="B10" s="11">
        <v>3.5355246808991304E-3</v>
      </c>
      <c r="C10" s="6">
        <f t="shared" si="4"/>
        <v>1835142</v>
      </c>
      <c r="D10" s="47">
        <f t="shared" si="1"/>
        <v>1382925.4</v>
      </c>
      <c r="E10" s="6">
        <v>5749</v>
      </c>
      <c r="F10" s="9">
        <f>ROUND(C10/E10,2)</f>
        <v>319.20999999999998</v>
      </c>
      <c r="G10" s="14">
        <v>319.20999999999998</v>
      </c>
      <c r="H10" s="2">
        <f>G10*E10</f>
        <v>1835138.2899999998</v>
      </c>
      <c r="I10" s="2">
        <v>1382922.4400000002</v>
      </c>
      <c r="J10" s="2">
        <f>C10-H10</f>
        <v>3.7100000001955777</v>
      </c>
      <c r="K10" s="2">
        <f t="shared" si="2"/>
        <v>2.9599999997299165</v>
      </c>
    </row>
    <row r="11" spans="1:11" s="18" customFormat="1" x14ac:dyDescent="0.2">
      <c r="A11" s="3" t="s">
        <v>2</v>
      </c>
      <c r="B11" s="11">
        <f t="shared" ref="B11" si="5">((C11*100)/C$11)/100</f>
        <v>1</v>
      </c>
      <c r="C11" s="4">
        <v>519180000</v>
      </c>
      <c r="D11" s="4">
        <f>SUM(D3:D10)</f>
        <v>391243406.18000001</v>
      </c>
      <c r="E11" s="6"/>
      <c r="F11" s="9"/>
      <c r="G11" s="14"/>
      <c r="H11" s="4">
        <f>SUM(H3:H10)</f>
        <v>519142150.53000003</v>
      </c>
      <c r="I11" s="4">
        <f>SUM(I3:I10)</f>
        <v>391214880.44000006</v>
      </c>
      <c r="J11" s="4">
        <f>SUM(J3:J10)</f>
        <v>37849.469999996247</v>
      </c>
      <c r="K11" s="4">
        <f>SUM(K3:K10)</f>
        <v>28525.739999996731</v>
      </c>
    </row>
    <row r="12" spans="1:11" s="18" customFormat="1" x14ac:dyDescent="0.2">
      <c r="A12" s="1" t="s">
        <v>16</v>
      </c>
      <c r="B12" s="11">
        <v>0.25957239083997102</v>
      </c>
      <c r="C12" s="6">
        <f>ROUND(B12*C$15,0)</f>
        <v>11743055</v>
      </c>
      <c r="D12" s="47">
        <f t="shared" si="1"/>
        <v>8849325.5500000007</v>
      </c>
      <c r="E12" s="6">
        <v>8299</v>
      </c>
      <c r="F12" s="9">
        <f>ROUND(C12/E12,2)</f>
        <v>1415</v>
      </c>
      <c r="G12" s="14">
        <v>1414.99</v>
      </c>
      <c r="H12" s="2">
        <f>G12*E12</f>
        <v>11743002.01</v>
      </c>
      <c r="I12" s="2">
        <v>8849306.6899999995</v>
      </c>
      <c r="J12" s="2">
        <f t="shared" ref="J12:J23" si="6">C12-H12</f>
        <v>52.990000000223517</v>
      </c>
      <c r="K12" s="2">
        <f t="shared" si="2"/>
        <v>18.860000001266599</v>
      </c>
    </row>
    <row r="13" spans="1:11" s="18" customFormat="1" x14ac:dyDescent="0.2">
      <c r="A13" s="1" t="s">
        <v>28</v>
      </c>
      <c r="B13" s="11">
        <v>0.11819728258508327</v>
      </c>
      <c r="C13" s="6">
        <f t="shared" ref="C13:C14" si="7">ROUND(B13*C$15,0)</f>
        <v>5347245</v>
      </c>
      <c r="D13" s="47">
        <f t="shared" si="1"/>
        <v>4029574.23</v>
      </c>
      <c r="E13" s="6">
        <v>8547</v>
      </c>
      <c r="F13" s="9">
        <f>ROUND(C13/E13,2)</f>
        <v>625.63</v>
      </c>
      <c r="G13" s="14">
        <v>625.62</v>
      </c>
      <c r="H13" s="2">
        <f>G13*E13</f>
        <v>5347174.1399999997</v>
      </c>
      <c r="I13" s="2">
        <v>4029495.13</v>
      </c>
      <c r="J13" s="2">
        <f t="shared" si="6"/>
        <v>70.860000000335276</v>
      </c>
      <c r="K13" s="2">
        <f t="shared" si="2"/>
        <v>79.100000000093132</v>
      </c>
    </row>
    <row r="14" spans="1:11" s="18" customFormat="1" x14ac:dyDescent="0.2">
      <c r="A14" s="1" t="s">
        <v>17</v>
      </c>
      <c r="B14" s="11">
        <v>0.6222303265749457</v>
      </c>
      <c r="C14" s="6">
        <f t="shared" si="7"/>
        <v>28149700</v>
      </c>
      <c r="D14" s="47">
        <f t="shared" si="1"/>
        <v>21213036.93</v>
      </c>
      <c r="E14" s="6">
        <v>768888</v>
      </c>
      <c r="F14" s="9">
        <f>ROUND(C14/E14,2)</f>
        <v>36.61</v>
      </c>
      <c r="G14" s="14">
        <v>36.61</v>
      </c>
      <c r="H14" s="2">
        <f>G14*E14</f>
        <v>28148989.68</v>
      </c>
      <c r="I14" s="2">
        <v>21212501.82</v>
      </c>
      <c r="J14" s="2">
        <f t="shared" si="6"/>
        <v>710.32000000029802</v>
      </c>
      <c r="K14" s="2">
        <f t="shared" si="2"/>
        <v>535.10999999940395</v>
      </c>
    </row>
    <row r="15" spans="1:11" s="18" customFormat="1" x14ac:dyDescent="0.2">
      <c r="A15" s="3" t="s">
        <v>3</v>
      </c>
      <c r="B15" s="11">
        <f t="shared" ref="B15" si="8">((C15*100)/C$15)/100</f>
        <v>1</v>
      </c>
      <c r="C15" s="13">
        <v>45240000</v>
      </c>
      <c r="D15" s="13">
        <f>SUM(D12:D14)</f>
        <v>34091936.710000001</v>
      </c>
      <c r="E15" s="6"/>
      <c r="F15" s="9"/>
      <c r="G15" s="14"/>
      <c r="H15" s="13">
        <f>SUM(H12:H14)</f>
        <v>45239165.829999998</v>
      </c>
      <c r="I15" s="13">
        <f>SUM(I12:I14)</f>
        <v>34091303.640000001</v>
      </c>
      <c r="J15" s="4">
        <f t="shared" si="6"/>
        <v>834.17000000178814</v>
      </c>
      <c r="K15" s="4">
        <f>D15-I15</f>
        <v>633.07000000029802</v>
      </c>
    </row>
    <row r="16" spans="1:11" s="23" customFormat="1" x14ac:dyDescent="0.2">
      <c r="A16" s="3" t="s">
        <v>4</v>
      </c>
      <c r="B16" s="19">
        <v>1</v>
      </c>
      <c r="C16" s="13">
        <v>29620000</v>
      </c>
      <c r="D16" s="50">
        <f t="shared" si="1"/>
        <v>22321024.870000001</v>
      </c>
      <c r="E16" s="8">
        <v>183973.5</v>
      </c>
      <c r="F16" s="38">
        <f>ROUND(C16/E16,2)</f>
        <v>161</v>
      </c>
      <c r="G16" s="39">
        <v>161</v>
      </c>
      <c r="H16" s="4">
        <f>ROUND(G16*E16,2)</f>
        <v>29619733.5</v>
      </c>
      <c r="I16" s="4">
        <v>22320822.32</v>
      </c>
      <c r="J16" s="4">
        <f t="shared" si="6"/>
        <v>266.5</v>
      </c>
      <c r="K16" s="2">
        <f t="shared" si="2"/>
        <v>202.55000000074506</v>
      </c>
    </row>
    <row r="17" spans="1:11" s="18" customFormat="1" x14ac:dyDescent="0.2">
      <c r="A17" s="1" t="s">
        <v>5</v>
      </c>
      <c r="B17" s="52"/>
      <c r="C17" s="2">
        <f>C19-C18</f>
        <v>17105000</v>
      </c>
      <c r="D17" s="53">
        <f t="shared" si="1"/>
        <v>12889977.390000001</v>
      </c>
      <c r="E17" s="2">
        <v>198750</v>
      </c>
      <c r="F17" s="9">
        <f>ROUND(C17/E17,2)</f>
        <v>86.06</v>
      </c>
      <c r="G17" s="14">
        <v>86.06</v>
      </c>
      <c r="H17" s="2">
        <f>G17*E17</f>
        <v>17104425</v>
      </c>
      <c r="I17" s="2">
        <v>12889543.789999999</v>
      </c>
      <c r="J17" s="2">
        <f t="shared" si="6"/>
        <v>575</v>
      </c>
      <c r="K17" s="2">
        <f t="shared" si="2"/>
        <v>433.60000000149012</v>
      </c>
    </row>
    <row r="18" spans="1:11" s="18" customFormat="1" x14ac:dyDescent="0.2">
      <c r="A18" s="1" t="s">
        <v>6</v>
      </c>
      <c r="B18" s="52"/>
      <c r="C18" s="2">
        <f>E18*G18</f>
        <v>45000</v>
      </c>
      <c r="D18" s="53">
        <f t="shared" si="1"/>
        <v>33911.08</v>
      </c>
      <c r="E18" s="2">
        <v>18</v>
      </c>
      <c r="F18" s="9">
        <f>ROUND(C18/E18,2)</f>
        <v>2500</v>
      </c>
      <c r="G18" s="14">
        <v>2500</v>
      </c>
      <c r="H18" s="2">
        <f>G18*E18</f>
        <v>45000</v>
      </c>
      <c r="I18" s="2">
        <f>ROUND(H18/1.327,2)</f>
        <v>33911.08</v>
      </c>
      <c r="J18" s="2">
        <f t="shared" si="6"/>
        <v>0</v>
      </c>
      <c r="K18" s="2">
        <f t="shared" si="2"/>
        <v>0</v>
      </c>
    </row>
    <row r="19" spans="1:11" s="18" customFormat="1" x14ac:dyDescent="0.2">
      <c r="A19" s="3" t="s">
        <v>7</v>
      </c>
      <c r="B19" s="11">
        <f t="shared" ref="B19" si="9">((C19*100)/C$19)/100</f>
        <v>1</v>
      </c>
      <c r="C19" s="4">
        <v>17150000</v>
      </c>
      <c r="D19" s="4">
        <f>SUM(D17:D18)</f>
        <v>12923888.470000001</v>
      </c>
      <c r="E19" s="6"/>
      <c r="F19" s="9"/>
      <c r="G19" s="14"/>
      <c r="H19" s="4">
        <f>SUM(H17:H18)</f>
        <v>17149425</v>
      </c>
      <c r="I19" s="4">
        <f>SUM(I17:I18)</f>
        <v>12923454.869999999</v>
      </c>
      <c r="J19" s="4">
        <f t="shared" si="6"/>
        <v>575</v>
      </c>
      <c r="K19" s="4">
        <f>D19-I19</f>
        <v>433.60000000149012</v>
      </c>
    </row>
    <row r="20" spans="1:11" s="18" customFormat="1" x14ac:dyDescent="0.2">
      <c r="A20" s="1" t="s">
        <v>8</v>
      </c>
      <c r="B20" s="11">
        <f>((C20*100)/C$22)/100</f>
        <v>0.30399999999999999</v>
      </c>
      <c r="C20" s="2">
        <v>9120000</v>
      </c>
      <c r="D20" s="47">
        <f t="shared" si="1"/>
        <v>6872645.0599999996</v>
      </c>
      <c r="E20" s="6">
        <v>337471</v>
      </c>
      <c r="F20" s="9">
        <f>ROUND(C20/E20,2)</f>
        <v>27.02</v>
      </c>
      <c r="G20" s="14">
        <v>27.02</v>
      </c>
      <c r="H20" s="2">
        <f>E20*G20</f>
        <v>9118466.4199999999</v>
      </c>
      <c r="I20" s="2">
        <v>6871489.2699999996</v>
      </c>
      <c r="J20" s="2">
        <f t="shared" si="6"/>
        <v>1533.5800000000745</v>
      </c>
      <c r="K20" s="2">
        <f t="shared" si="2"/>
        <v>1155.7900000000373</v>
      </c>
    </row>
    <row r="21" spans="1:11" x14ac:dyDescent="0.2">
      <c r="A21" s="1" t="s">
        <v>9</v>
      </c>
      <c r="B21" s="11">
        <f t="shared" ref="B21:B22" si="10">((C21*100)/C$22)/100</f>
        <v>0.69599999999999995</v>
      </c>
      <c r="C21" s="6">
        <v>20880000</v>
      </c>
      <c r="D21" s="47">
        <f t="shared" si="1"/>
        <v>15734740.02</v>
      </c>
      <c r="E21" s="6">
        <v>431417</v>
      </c>
      <c r="F21" s="9">
        <f>ROUND(C21/E21,2)</f>
        <v>48.4</v>
      </c>
      <c r="G21" s="14">
        <v>48.39</v>
      </c>
      <c r="H21" s="2">
        <f>E21*G21</f>
        <v>20876268.629999999</v>
      </c>
      <c r="I21" s="2">
        <v>15731929.279999999</v>
      </c>
      <c r="J21" s="2">
        <f t="shared" si="6"/>
        <v>3731.3700000010431</v>
      </c>
      <c r="K21" s="2">
        <f t="shared" si="2"/>
        <v>2810.7400000002235</v>
      </c>
    </row>
    <row r="22" spans="1:11" x14ac:dyDescent="0.2">
      <c r="A22" s="3" t="s">
        <v>10</v>
      </c>
      <c r="B22" s="11">
        <f t="shared" si="10"/>
        <v>1</v>
      </c>
      <c r="C22" s="4">
        <f>SUM(C20:C21)</f>
        <v>30000000</v>
      </c>
      <c r="D22" s="4">
        <f>SUM(D20:D21)</f>
        <v>22607385.079999998</v>
      </c>
      <c r="E22" s="6"/>
      <c r="F22" s="9"/>
      <c r="G22" s="14"/>
      <c r="H22" s="4">
        <f>SUM(H20:H21)</f>
        <v>29994735.049999997</v>
      </c>
      <c r="I22" s="4">
        <f>SUM(I20:I21)</f>
        <v>22603418.549999997</v>
      </c>
      <c r="J22" s="4">
        <f t="shared" si="6"/>
        <v>5264.9500000029802</v>
      </c>
      <c r="K22" s="4">
        <f>D22-I22</f>
        <v>3966.5300000011921</v>
      </c>
    </row>
    <row r="23" spans="1:11" x14ac:dyDescent="0.2">
      <c r="A23" s="7" t="s">
        <v>42</v>
      </c>
      <c r="B23" s="12">
        <v>1</v>
      </c>
      <c r="C23" s="8">
        <v>16870000</v>
      </c>
      <c r="D23" s="50">
        <f t="shared" si="1"/>
        <v>12712886.210000001</v>
      </c>
      <c r="E23" s="6"/>
      <c r="F23" s="9"/>
      <c r="G23" s="14"/>
      <c r="H23" s="8">
        <v>16870000</v>
      </c>
      <c r="I23" s="8">
        <f>ROUND(H23/1.327,2)</f>
        <v>12712886.210000001</v>
      </c>
      <c r="J23" s="4">
        <f t="shared" si="6"/>
        <v>0</v>
      </c>
      <c r="K23" s="2">
        <f t="shared" si="2"/>
        <v>0</v>
      </c>
    </row>
    <row r="24" spans="1:11" x14ac:dyDescent="0.2">
      <c r="A24" s="17" t="s">
        <v>23</v>
      </c>
      <c r="B24" s="11">
        <v>0.8</v>
      </c>
      <c r="C24" s="6">
        <f>ROUND(B24*C$26,0)</f>
        <v>114240000</v>
      </c>
      <c r="D24" s="47">
        <f t="shared" si="1"/>
        <v>86088922.379999995</v>
      </c>
      <c r="E24" s="6">
        <v>768888</v>
      </c>
      <c r="F24" s="9">
        <f>ROUND(C24/E24,2)</f>
        <v>148.58000000000001</v>
      </c>
      <c r="G24" s="14">
        <v>148.57</v>
      </c>
      <c r="H24" s="2">
        <v>114240000</v>
      </c>
      <c r="I24" s="6">
        <f>ROUND(H24/1.327,2)</f>
        <v>86088922.379999995</v>
      </c>
      <c r="J24" s="2">
        <v>0</v>
      </c>
      <c r="K24" s="2">
        <f t="shared" si="2"/>
        <v>0</v>
      </c>
    </row>
    <row r="25" spans="1:11" x14ac:dyDescent="0.2">
      <c r="A25" s="20" t="s">
        <v>19</v>
      </c>
      <c r="B25" s="11">
        <v>0.2</v>
      </c>
      <c r="C25" s="6">
        <f>ROUND(B25*C$26,0)</f>
        <v>28560000</v>
      </c>
      <c r="D25" s="47">
        <f t="shared" si="1"/>
        <v>21522230.600000001</v>
      </c>
      <c r="E25" s="21"/>
      <c r="F25" s="9"/>
      <c r="G25" s="14"/>
      <c r="H25" s="2">
        <v>28560000</v>
      </c>
      <c r="I25" s="6">
        <v>21522230.550000146</v>
      </c>
      <c r="J25" s="2">
        <v>0</v>
      </c>
      <c r="K25" s="2">
        <f t="shared" si="2"/>
        <v>4.999985545873642E-2</v>
      </c>
    </row>
    <row r="26" spans="1:11" x14ac:dyDescent="0.2">
      <c r="A26" s="7" t="s">
        <v>18</v>
      </c>
      <c r="B26" s="12">
        <f>SUM(B24:B25)</f>
        <v>1</v>
      </c>
      <c r="C26" s="8">
        <v>142800000</v>
      </c>
      <c r="D26" s="8">
        <f>SUM(D24:D25)</f>
        <v>107611152.97999999</v>
      </c>
      <c r="E26" s="5"/>
      <c r="F26" s="9"/>
      <c r="G26" s="14"/>
      <c r="H26" s="8">
        <v>142800000</v>
      </c>
      <c r="I26" s="8">
        <f>SUM(I24:I25)</f>
        <v>107611152.93000014</v>
      </c>
      <c r="J26" s="8">
        <f t="shared" ref="J26:K26" si="11">SUM(J24:J25)</f>
        <v>0</v>
      </c>
      <c r="K26" s="8">
        <f t="shared" si="11"/>
        <v>4.999985545873642E-2</v>
      </c>
    </row>
    <row r="27" spans="1:11" hidden="1" x14ac:dyDescent="0.2">
      <c r="E27" s="23"/>
      <c r="F27" s="24"/>
      <c r="H27" s="23"/>
      <c r="I27" s="23"/>
      <c r="J27" s="23"/>
      <c r="K27" s="23"/>
    </row>
    <row r="28" spans="1:11" hidden="1" x14ac:dyDescent="0.2">
      <c r="A28" s="25" t="s">
        <v>12</v>
      </c>
      <c r="B28" s="26"/>
      <c r="C28" s="27">
        <f>C11+C15+C16+C19+C22+C23+C26</f>
        <v>800860000</v>
      </c>
      <c r="D28" s="27"/>
      <c r="E28" s="27"/>
      <c r="F28" s="27"/>
      <c r="G28" s="27"/>
      <c r="H28" s="27">
        <f>H11+H15+H16+H19+H22+H23+H26</f>
        <v>800815209.90999997</v>
      </c>
      <c r="I28" s="27"/>
      <c r="J28" s="27">
        <f>C28-H28</f>
        <v>44790.090000033379</v>
      </c>
      <c r="K28" s="27"/>
    </row>
    <row r="29" spans="1:11" hidden="1" x14ac:dyDescent="0.2">
      <c r="A29" s="7" t="s">
        <v>11</v>
      </c>
      <c r="B29" s="12"/>
      <c r="C29" s="8">
        <v>1150000</v>
      </c>
      <c r="D29" s="8"/>
      <c r="E29" s="5"/>
      <c r="F29" s="9"/>
      <c r="G29" s="14"/>
      <c r="H29" s="4"/>
      <c r="I29" s="4"/>
      <c r="J29" s="5"/>
      <c r="K29" s="5"/>
    </row>
    <row r="30" spans="1:11" ht="16.5" hidden="1" customHeight="1" x14ac:dyDescent="0.2">
      <c r="A30" s="10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hidden="1" customHeight="1" x14ac:dyDescent="0.2">
      <c r="A31" s="10" t="s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6.5" hidden="1" customHeight="1" x14ac:dyDescent="0.2">
      <c r="A32" s="10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36.75" hidden="1" customHeight="1" x14ac:dyDescent="0.2">
      <c r="A33" s="88" t="s">
        <v>26</v>
      </c>
      <c r="B33" s="88"/>
      <c r="C33" s="88"/>
      <c r="D33" s="88"/>
      <c r="E33" s="88"/>
      <c r="F33" s="88"/>
      <c r="G33" s="88"/>
      <c r="H33" s="88"/>
      <c r="I33" s="46"/>
      <c r="J33" s="17"/>
      <c r="K33" s="17"/>
    </row>
    <row r="34" spans="1:11" ht="18" hidden="1" customHeight="1" x14ac:dyDescent="0.2">
      <c r="A34" s="17" t="s">
        <v>43</v>
      </c>
    </row>
    <row r="35" spans="1:11" hidden="1" x14ac:dyDescent="0.2"/>
    <row r="36" spans="1:11" hidden="1" x14ac:dyDescent="0.2"/>
    <row r="37" spans="1:11" hidden="1" x14ac:dyDescent="0.2">
      <c r="A37" s="11"/>
      <c r="B37" s="11"/>
      <c r="C37" s="11"/>
      <c r="D37" s="11"/>
    </row>
    <row r="38" spans="1:11" hidden="1" x14ac:dyDescent="0.2"/>
    <row r="39" spans="1:11" ht="12.75" hidden="1" x14ac:dyDescent="0.2">
      <c r="A39" s="28"/>
      <c r="B39" s="29" t="s">
        <v>30</v>
      </c>
      <c r="C39" s="29" t="s">
        <v>31</v>
      </c>
      <c r="D39" s="29"/>
    </row>
    <row r="40" spans="1:11" ht="12.75" hidden="1" thickBot="1" x14ac:dyDescent="0.25">
      <c r="A40" s="30" t="s">
        <v>32</v>
      </c>
      <c r="B40" s="31">
        <v>531180000</v>
      </c>
      <c r="C40" s="31">
        <v>519180000</v>
      </c>
      <c r="D40" s="48"/>
    </row>
    <row r="41" spans="1:11" ht="12.75" hidden="1" thickBot="1" x14ac:dyDescent="0.25">
      <c r="A41" s="32" t="s">
        <v>33</v>
      </c>
      <c r="B41" s="33">
        <v>18150000</v>
      </c>
      <c r="C41" s="34">
        <v>17149999.93</v>
      </c>
      <c r="D41" s="48"/>
    </row>
    <row r="42" spans="1:11" ht="12.75" hidden="1" thickBot="1" x14ac:dyDescent="0.25">
      <c r="A42" s="32" t="s">
        <v>34</v>
      </c>
      <c r="B42" s="34">
        <v>55240000</v>
      </c>
      <c r="C42" s="34">
        <v>45240000</v>
      </c>
      <c r="D42" s="48"/>
    </row>
    <row r="43" spans="1:11" ht="12.75" hidden="1" thickBot="1" x14ac:dyDescent="0.25">
      <c r="A43" s="32" t="s">
        <v>35</v>
      </c>
      <c r="B43" s="34">
        <v>29620000</v>
      </c>
      <c r="C43" s="34">
        <v>29620000</v>
      </c>
      <c r="D43" s="48"/>
    </row>
    <row r="44" spans="1:11" ht="12.75" hidden="1" thickBot="1" x14ac:dyDescent="0.25">
      <c r="A44" s="32" t="s">
        <v>36</v>
      </c>
      <c r="B44" s="34">
        <v>23870000</v>
      </c>
      <c r="C44" s="34">
        <v>16870000</v>
      </c>
      <c r="D44" s="48"/>
    </row>
    <row r="45" spans="1:11" ht="12.75" hidden="1" thickBot="1" x14ac:dyDescent="0.25">
      <c r="A45" s="32" t="s">
        <v>37</v>
      </c>
      <c r="B45" s="34">
        <v>30000000</v>
      </c>
      <c r="C45" s="34">
        <v>30000000</v>
      </c>
      <c r="D45" s="48"/>
    </row>
    <row r="46" spans="1:11" s="22" customFormat="1" ht="12.75" hidden="1" thickBot="1" x14ac:dyDescent="0.25">
      <c r="A46" s="32" t="s">
        <v>38</v>
      </c>
      <c r="B46" s="35" t="s">
        <v>39</v>
      </c>
      <c r="C46" s="34">
        <v>142800000</v>
      </c>
      <c r="D46" s="48"/>
      <c r="F46" s="18"/>
      <c r="G46" s="24"/>
      <c r="H46" s="18"/>
      <c r="I46" s="18"/>
      <c r="J46" s="18"/>
      <c r="K46" s="18"/>
    </row>
    <row r="47" spans="1:11" s="22" customFormat="1" ht="12.75" hidden="1" thickBot="1" x14ac:dyDescent="0.25">
      <c r="A47" s="36" t="s">
        <v>40</v>
      </c>
      <c r="B47" s="37">
        <v>818738000</v>
      </c>
      <c r="C47" s="37">
        <v>800859999.92999995</v>
      </c>
      <c r="D47" s="49"/>
      <c r="F47" s="18"/>
      <c r="G47" s="24"/>
      <c r="H47" s="18"/>
      <c r="I47" s="18"/>
      <c r="J47" s="18"/>
      <c r="K47" s="18"/>
    </row>
    <row r="48" spans="1:11" hidden="1" x14ac:dyDescent="0.2"/>
    <row r="49" spans="1:11" hidden="1" x14ac:dyDescent="0.2"/>
    <row r="50" spans="1:11" hidden="1" x14ac:dyDescent="0.2"/>
    <row r="51" spans="1:11" hidden="1" x14ac:dyDescent="0.2"/>
    <row r="53" spans="1:11" x14ac:dyDescent="0.2">
      <c r="A53" s="7" t="s">
        <v>57</v>
      </c>
      <c r="B53" s="12"/>
      <c r="C53" s="8">
        <f>C11+C15+C16+C19+C22+C23+C26</f>
        <v>800860000</v>
      </c>
      <c r="D53" s="8">
        <f>D11+D15+D16+D19+D22+D23+D26</f>
        <v>603511680.5</v>
      </c>
      <c r="E53" s="5"/>
      <c r="F53" s="9"/>
      <c r="G53" s="14"/>
      <c r="H53" s="8">
        <f>H11+H15+H16+H19+H22+H23+H26</f>
        <v>800815209.90999997</v>
      </c>
      <c r="I53" s="8">
        <f>I11+I15+I16+I19+I22+I23+I26</f>
        <v>603477918.96000016</v>
      </c>
      <c r="J53" s="8">
        <f>J11+J15+J16+J19+J22+J26+J23</f>
        <v>44790.090000001015</v>
      </c>
      <c r="K53" s="8">
        <f>K11+K15+K16+K19+K22+K26+K23</f>
        <v>33761.539999855915</v>
      </c>
    </row>
    <row r="54" spans="1:11" x14ac:dyDescent="0.2">
      <c r="C54" s="6">
        <v>1150000</v>
      </c>
      <c r="D54" s="6"/>
      <c r="E54" s="6"/>
      <c r="H54" s="24"/>
      <c r="I54" s="24"/>
      <c r="J54" s="8"/>
      <c r="K54" s="24"/>
    </row>
    <row r="55" spans="1:11" x14ac:dyDescent="0.2">
      <c r="C55" s="8">
        <f>C53+C54</f>
        <v>802010000</v>
      </c>
    </row>
  </sheetData>
  <autoFilter ref="A2:A55" xr:uid="{C1AB0376-E238-4AF3-AF0A-52750FF461FF}"/>
  <mergeCells count="8">
    <mergeCell ref="J7:J8"/>
    <mergeCell ref="A33:H33"/>
    <mergeCell ref="D7:D8"/>
    <mergeCell ref="I7:I8"/>
    <mergeCell ref="A7:A8"/>
    <mergeCell ref="B7:B8"/>
    <mergeCell ref="C7:C8"/>
    <mergeCell ref="H7:H8"/>
  </mergeCells>
  <pageMargins left="0.7" right="0.7" top="0.75" bottom="0.75" header="0.3" footer="0.3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MOF 2020-21</vt:lpstr>
      <vt:lpstr>fondo MOF</vt:lpstr>
      <vt:lpstr>MOF 2019-20</vt:lpstr>
      <vt:lpstr>'MOF 2019-20'!Area_stampa</vt:lpstr>
      <vt:lpstr>'MOF 2020-21'!Area_stampa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2017-07-21T16:48:33Z</dcterms:created>
  <dcterms:modified xsi:type="dcterms:W3CDTF">2020-09-01T14:13:01Z</dcterms:modified>
</cp:coreProperties>
</file>